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lack\Desktop\"/>
    </mc:Choice>
  </mc:AlternateContent>
  <workbookProtection lockStructure="1"/>
  <bookViews>
    <workbookView xWindow="0" yWindow="0" windowWidth="23055" windowHeight="10485" activeTab="1"/>
  </bookViews>
  <sheets>
    <sheet name="I. Timing Constants" sheetId="1" r:id="rId1"/>
    <sheet name="II. 4 Phase" sheetId="2" r:id="rId2"/>
    <sheet name="III. 3 Phase" sheetId="3" r:id="rId3"/>
    <sheet name="IV. Sep Intersection" sheetId="4" r:id="rId4"/>
  </sheets>
  <calcPr calcId="152511" concurrentCalc="0"/>
</workbook>
</file>

<file path=xl/calcChain.xml><?xml version="1.0" encoding="utf-8"?>
<calcChain xmlns="http://schemas.openxmlformats.org/spreadsheetml/2006/main">
  <c r="J24" i="2" l="1"/>
  <c r="H24" i="2"/>
  <c r="F24" i="2"/>
  <c r="D24" i="2"/>
  <c r="G22" i="2"/>
  <c r="B2" i="2"/>
  <c r="G13" i="2"/>
  <c r="F12" i="2"/>
  <c r="G29" i="1"/>
  <c r="G28" i="2"/>
  <c r="C29" i="1"/>
  <c r="C28" i="2"/>
  <c r="J28" i="2"/>
  <c r="F28" i="2"/>
  <c r="I29" i="1"/>
  <c r="E29" i="1"/>
  <c r="J22" i="1"/>
  <c r="I22" i="1"/>
  <c r="H22" i="1"/>
  <c r="G22" i="1"/>
  <c r="F22" i="1"/>
  <c r="E22" i="1"/>
  <c r="D22" i="1"/>
  <c r="C22" i="1"/>
  <c r="J29" i="1"/>
  <c r="H37" i="1"/>
  <c r="F29" i="1"/>
  <c r="H38" i="1"/>
  <c r="J20" i="1"/>
  <c r="H20" i="1"/>
  <c r="G20" i="1"/>
  <c r="F20" i="1"/>
  <c r="D20" i="1"/>
  <c r="C20" i="1"/>
  <c r="F12" i="1"/>
  <c r="F13" i="1"/>
  <c r="C21" i="1"/>
  <c r="D21" i="1"/>
  <c r="F21" i="1"/>
  <c r="G21" i="1"/>
  <c r="H21" i="1"/>
  <c r="J21" i="1"/>
  <c r="D30" i="1"/>
  <c r="H30" i="1"/>
  <c r="C3" i="2"/>
  <c r="H3" i="2"/>
  <c r="L3" i="2"/>
  <c r="F9" i="2"/>
  <c r="G15" i="2"/>
  <c r="H20" i="2"/>
  <c r="H21" i="2"/>
  <c r="J21" i="2"/>
  <c r="G24" i="2"/>
  <c r="G25" i="2"/>
  <c r="F25" i="2"/>
  <c r="J25" i="2"/>
  <c r="J30" i="2"/>
  <c r="D2" i="3"/>
  <c r="C3" i="3"/>
  <c r="K8" i="3"/>
  <c r="F12" i="3"/>
  <c r="F9" i="3"/>
  <c r="G12" i="3"/>
  <c r="G15" i="3"/>
  <c r="B14" i="3"/>
  <c r="I20" i="3"/>
  <c r="J21" i="3"/>
  <c r="C24" i="3"/>
  <c r="C25" i="3"/>
  <c r="D24" i="3"/>
  <c r="F24" i="3"/>
  <c r="H24" i="3"/>
  <c r="J24" i="3"/>
  <c r="J25" i="3"/>
  <c r="F25" i="3"/>
  <c r="D28" i="3"/>
  <c r="H28" i="3"/>
  <c r="C3" i="4"/>
  <c r="K8" i="4"/>
  <c r="F12" i="4"/>
  <c r="F9" i="4"/>
  <c r="G12" i="4"/>
  <c r="G15" i="4"/>
  <c r="B14" i="4"/>
  <c r="J21" i="4"/>
  <c r="C24" i="4"/>
  <c r="C25" i="4"/>
  <c r="D24" i="4"/>
  <c r="F24" i="4"/>
  <c r="H24" i="4"/>
  <c r="J24" i="4"/>
  <c r="J25" i="4"/>
  <c r="F25" i="4"/>
  <c r="G24" i="3"/>
  <c r="G25" i="3"/>
  <c r="C24" i="2"/>
  <c r="C25" i="2"/>
  <c r="C4" i="2"/>
  <c r="F30" i="2"/>
  <c r="E4" i="2"/>
  <c r="B14" i="2"/>
  <c r="D25" i="2"/>
  <c r="D25" i="3"/>
  <c r="D25" i="4"/>
  <c r="G24" i="4"/>
  <c r="G25" i="4"/>
  <c r="K8" i="2"/>
  <c r="H25" i="4"/>
  <c r="H25" i="3"/>
  <c r="H25" i="2"/>
</calcChain>
</file>

<file path=xl/sharedStrings.xml><?xml version="1.0" encoding="utf-8"?>
<sst xmlns="http://schemas.openxmlformats.org/spreadsheetml/2006/main" count="154" uniqueCount="98">
  <si>
    <t>Min(Max Init)</t>
  </si>
  <si>
    <t>Yellow</t>
  </si>
  <si>
    <t>All-Red</t>
  </si>
  <si>
    <t>LEFT</t>
  </si>
  <si>
    <t>RIGHT</t>
  </si>
  <si>
    <t>SB Fr Rd</t>
  </si>
  <si>
    <t>NB Fr Rd</t>
  </si>
  <si>
    <t>Travel Time (sec)</t>
  </si>
  <si>
    <t>Shortway % Allowed</t>
  </si>
  <si>
    <t>Split Time</t>
  </si>
  <si>
    <t>Min Check</t>
  </si>
  <si>
    <t>Calculated Values</t>
  </si>
  <si>
    <t>Phase</t>
  </si>
  <si>
    <t>** Do Not Modify **</t>
  </si>
  <si>
    <t xml:space="preserve"> </t>
  </si>
  <si>
    <t xml:space="preserve">  Max Front Rd Extension (sec)</t>
  </si>
  <si>
    <t>II. Texas 4 Phase Diamond Operation</t>
  </si>
  <si>
    <t>General Notes:</t>
  </si>
  <si>
    <t>1)</t>
  </si>
  <si>
    <t>Free Diamond Operation is provided for all TS1, TS2, 970 and 2070 controller models.  Initialize the controller as</t>
  </si>
  <si>
    <t>a DIAMOND controller type under MM-&gt;8-&gt;4-&gt;1 (the run timer must be turned OFF under MM-&gt;1-&gt;7).</t>
  </si>
  <si>
    <t>The Phase Mode for the diamond can then be varied under Unit Parameters (MM-&gt;1-&gt;2-&gt;1).</t>
  </si>
  <si>
    <t>2)</t>
  </si>
  <si>
    <t>Coordinated Diamond Operation is provided using the OTHER force-off option under MM-&gt;2-&gt;1 (left screen)</t>
  </si>
  <si>
    <t>with the force-off+ option set to EASY under MM-&gt;2-&gt;1 (right screen).</t>
  </si>
  <si>
    <t>3)</t>
  </si>
  <si>
    <t>Shortway or Longway may be used as a transition method (set Correction to SHORT/LONG under MM-&gt;2-&gt;1)</t>
  </si>
  <si>
    <t>and program the shortway and/or longway % desired for the pattern.  The spreadsheet verifies that the splits</t>
  </si>
  <si>
    <t>provided satisfy the minimum vehicle phase times with any shortway applied (ped min times are not checked).</t>
  </si>
  <si>
    <t xml:space="preserve">Cycle Length: </t>
  </si>
  <si>
    <t>Notes Related to 3Ø Operation</t>
  </si>
  <si>
    <t>Notes Related to 4Ø Operation</t>
  </si>
  <si>
    <t>4)</t>
  </si>
  <si>
    <t>III. Texas 3 Phase Diamond Operation</t>
  </si>
  <si>
    <t xml:space="preserve">The cycle length is specified and splits are entered for traffic entering the diamond on phases Ø 2,4,6 and 8. </t>
  </si>
  <si>
    <t xml:space="preserve">The cycle length is specified and splits are entered for traffic entering the diamond on phases Ø 2, 4, 6 and 8. </t>
  </si>
  <si>
    <t>The interior left-turn movements are balanced to insure that:</t>
  </si>
  <si>
    <t>Ring 1 = cycle length = Ø2+1+ 4</t>
  </si>
  <si>
    <t>Note: Phases 9, 12, 13 and 16 are not used in 3Ø operation</t>
  </si>
  <si>
    <t>Phase 10 is dynamically inserted in the sequence if phase 4 is skipped.</t>
  </si>
  <si>
    <t>Phase 14 is dynamically inserted in the sequence if phase 8 is skipped.</t>
  </si>
  <si>
    <t>Ring 1 = cycle length = Ø6+ 5+ 8</t>
  </si>
  <si>
    <t>Frontage Road Extensions (Ø12 and Ø16) Timed Concurrently With the Beginning of Ø2 and Ø6:</t>
  </si>
  <si>
    <t>Stopped Vehicle Moving:</t>
  </si>
  <si>
    <t>Phases 12 and 16 are used to extend the frontage road overlaps during 4Ø operation. These phases run</t>
  </si>
  <si>
    <t>5)</t>
  </si>
  <si>
    <t>You may copy the split times from this spreadsheet directly into StreetWise.</t>
  </si>
  <si>
    <t>Phases 3 and 7 (the diagonal approaches in the above schematic) are not considered.</t>
  </si>
  <si>
    <t>If phases 3 and 7 are used, the 6-phase sequence is 25 -&gt; 35 -&gt; 45 -&gt; 16 -&gt; 17-&gt; 18</t>
  </si>
  <si>
    <t>No Shortway?</t>
  </si>
  <si>
    <t>7)</t>
  </si>
  <si>
    <t>1" is added to the min time checks to avoid problems later if the amount of shortway is increased.</t>
  </si>
  <si>
    <t>5)   The 4-phase sequence assumed in these calculations is 25 -&gt; 45 -&gt; 16 -&gt; 18</t>
  </si>
  <si>
    <t>6)</t>
  </si>
  <si>
    <t>concurrently with phases 2 and 6 and provide additional capacity for the interchange.</t>
  </si>
  <si>
    <t xml:space="preserve">The travel time check in this spreadsheet insures that the downstream signals are green prior to the arrival of the </t>
  </si>
  <si>
    <t>platoons from phases 2 and 6. You enter travel times moving moving from one frontage road to the next when Ø2</t>
  </si>
  <si>
    <t>and Ø6 turn green. This travel time should also be used to limit the active max value (max 1 or max 2) for Ø12 and Ø16.</t>
  </si>
  <si>
    <t>Typically, phases Ø4, 8, 12 and 16 should be omitted from shortway as "No Shortway Phases" under MM-&gt;2-&gt;5</t>
  </si>
  <si>
    <t>This minimizes the sum of the frontage road phases and extensions as low as possible.</t>
  </si>
  <si>
    <t>Note: The frontage road extensions below apply only to the 4-phase Diamond Mode</t>
  </si>
  <si>
    <t>Splits for Ø9 and Ø13 are based on their min times + 2"</t>
  </si>
  <si>
    <t>8)</t>
  </si>
  <si>
    <t>In 4-phase operation, the minimum split time for Ø2 is the sum of the min vehicle times for Ø2 + Ø16.</t>
  </si>
  <si>
    <t>In 4-phase operation, the minimum split time for Ø6 is the sum of the min vehicle times for Ø6 + Ø12.</t>
  </si>
  <si>
    <t>Min Split 4Ø</t>
  </si>
  <si>
    <t>Min Split 3Ø</t>
  </si>
  <si>
    <t xml:space="preserve">Phase 10 split is set equal to minimum for phase 10 + 2" </t>
  </si>
  <si>
    <t>Phase 14 split is set equal to minimum for phase 14 + 2"</t>
  </si>
  <si>
    <t>Notes Related to Separate Intersection Operation</t>
  </si>
  <si>
    <t>IV. Texas Sep (Separate Intersection) Operation</t>
  </si>
  <si>
    <t>Note: Phases 9-16 are not used in Sep operation</t>
  </si>
  <si>
    <t>Phases 9, 11, 12, 13, 15 and 16 are not used in 3Ø operation.</t>
  </si>
  <si>
    <t>9)</t>
  </si>
  <si>
    <t xml:space="preserve">   moving LEFT to RIGHT from Ø2</t>
  </si>
  <si>
    <t xml:space="preserve">   moving RIGHT TO LEFT from Ø6</t>
  </si>
  <si>
    <t>10)</t>
  </si>
  <si>
    <t>Added a warning if any phase yellow time is less than 3" (MUTCD requirement).  This can be overriden</t>
  </si>
  <si>
    <t>in the controller with Unit Parameter (MM-&gt;1-&gt;2-&gt;1) - "Allow &lt; 3 sec Yel"</t>
  </si>
  <si>
    <t>This spreadsheet adds 1" to the minimum vehicle times as a buffer if the Min Green is &lt; 2"</t>
  </si>
  <si>
    <t>11)</t>
  </si>
  <si>
    <t>Added a warning if any phase min green time is zero</t>
  </si>
  <si>
    <t>The spreadsheet assumes that the clearance times for the overlaps is timed with the included phase that</t>
  </si>
  <si>
    <t xml:space="preserve">terminates the overlap - I.e., you should set "Parent Ø Clearance" to ON under MM-&gt;1-&gt;5-&gt;1 </t>
  </si>
  <si>
    <t>Split times for phases 10 and 14 are based on their min times + 2"</t>
  </si>
  <si>
    <t>Texas Diamond Coordination Worksheet - (revised May, 2015)</t>
  </si>
  <si>
    <t>OMIT</t>
  </si>
  <si>
    <t>Min Split SG</t>
  </si>
  <si>
    <t>Phase 1 is balanced to insure that Ø1+2+4+12 equals the cycle length.</t>
  </si>
  <si>
    <t>Phase 5 is balanced to insure that Ø5+6+8+16 equals the cycle length</t>
  </si>
  <si>
    <t>Set a coord phase in each ring during coordination.  The offset in the pattern table references the coord phase in ring 1.</t>
  </si>
  <si>
    <t>The offset in the Pattern+ table references the coord phase(s) in the other rings</t>
  </si>
  <si>
    <t>Enter values in boxes with pink border</t>
  </si>
  <si>
    <t>See note 3) under tab "I. Timing Constants" for advance green phases Ø12 and Ø16.</t>
  </si>
  <si>
    <t>Phases 3, 7, 11 and 15 must be enabled in Phase Options if the approaches controlled by 3 and 7 are used.</t>
  </si>
  <si>
    <t>Otherwise, OMIT phases 11 and 15 in the split table to insure a 0" split for 11 and 15 passes the coord diagnostic</t>
  </si>
  <si>
    <t>Phases 3, 7, 9 and 13 must be enabled in Phase Options if the approaches controlled by 3 and 7 are used.</t>
  </si>
  <si>
    <t>Otherwise, OMIT phases 9 and 13 in the split table to insure a 0" split for 9 and 13 passes the coord diagnostic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</si>
</sst>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6"/>
      <name val="Arial Narrow"/>
      <family val="2"/>
    </font>
    <font>
      <b/>
      <sz val="18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i/>
      <sz val="10"/>
      <color indexed="16"/>
      <name val="Arial"/>
      <family val="2"/>
    </font>
    <font>
      <b/>
      <sz val="16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sz val="11"/>
      <color indexed="60"/>
      <name val="Arial"/>
      <family val="2"/>
    </font>
    <font>
      <sz val="10"/>
      <color rgb="FFFF00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1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2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0" borderId="0" xfId="0" quotePrefix="1" applyProtection="1"/>
    <xf numFmtId="0" fontId="2" fillId="0" borderId="0" xfId="0" applyFont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5" borderId="15" xfId="0" applyFill="1" applyBorder="1" applyProtection="1"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/>
    <xf numFmtId="1" fontId="7" fillId="3" borderId="0" xfId="0" applyNumberFormat="1" applyFont="1" applyFill="1" applyAlignment="1" applyProtection="1">
      <alignment horizontal="left"/>
    </xf>
    <xf numFmtId="1" fontId="7" fillId="3" borderId="0" xfId="0" applyNumberFormat="1" applyFont="1" applyFill="1" applyProtection="1"/>
    <xf numFmtId="0" fontId="4" fillId="0" borderId="0" xfId="0" applyFont="1" applyProtection="1"/>
    <xf numFmtId="0" fontId="0" fillId="3" borderId="16" xfId="0" applyFill="1" applyBorder="1" applyProtection="1"/>
    <xf numFmtId="0" fontId="4" fillId="3" borderId="17" xfId="0" applyFont="1" applyFill="1" applyBorder="1" applyAlignment="1" applyProtection="1">
      <alignment horizontal="center"/>
    </xf>
    <xf numFmtId="0" fontId="4" fillId="3" borderId="17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7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10" fillId="3" borderId="0" xfId="0" applyFont="1" applyFill="1" applyBorder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12" fillId="0" borderId="0" xfId="0" applyFont="1" applyProtection="1"/>
    <xf numFmtId="0" fontId="10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/>
    <xf numFmtId="0" fontId="9" fillId="0" borderId="0" xfId="0" applyFont="1"/>
    <xf numFmtId="0" fontId="10" fillId="0" borderId="0" xfId="0" applyFont="1" applyFill="1" applyBorder="1" applyAlignment="1" applyProtection="1">
      <alignment horizontal="right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14" fillId="5" borderId="18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5" fillId="0" borderId="0" xfId="0" applyFont="1" applyFill="1" applyBorder="1" applyProtection="1"/>
    <xf numFmtId="0" fontId="4" fillId="0" borderId="0" xfId="0" applyFont="1" applyAlignment="1" applyProtection="1">
      <alignment horizontal="left"/>
    </xf>
    <xf numFmtId="1" fontId="0" fillId="0" borderId="0" xfId="0" applyNumberFormat="1" applyProtection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Fill="1" applyAlignment="1" applyProtection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applyFont="1"/>
    <xf numFmtId="0" fontId="23" fillId="0" borderId="0" xfId="0" applyFont="1"/>
    <xf numFmtId="0" fontId="24" fillId="0" borderId="0" xfId="0" applyFont="1"/>
    <xf numFmtId="0" fontId="13" fillId="6" borderId="0" xfId="0" applyFont="1" applyFill="1" applyProtection="1"/>
    <xf numFmtId="0" fontId="0" fillId="6" borderId="0" xfId="0" applyFill="1"/>
    <xf numFmtId="0" fontId="0" fillId="6" borderId="0" xfId="0" applyFill="1" applyProtection="1"/>
    <xf numFmtId="0" fontId="1" fillId="6" borderId="0" xfId="0" applyFont="1" applyFill="1" applyProtection="1"/>
    <xf numFmtId="0" fontId="4" fillId="6" borderId="0" xfId="0" applyFont="1" applyFill="1" applyProtection="1"/>
    <xf numFmtId="0" fontId="10" fillId="6" borderId="0" xfId="0" applyFont="1" applyFill="1" applyAlignment="1" applyProtection="1">
      <alignment horizontal="right"/>
    </xf>
    <xf numFmtId="0" fontId="11" fillId="6" borderId="0" xfId="0" applyFont="1" applyFill="1" applyAlignment="1" applyProtection="1">
      <alignment horizontal="center"/>
    </xf>
    <xf numFmtId="0" fontId="21" fillId="6" borderId="0" xfId="0" applyFont="1" applyFill="1"/>
    <xf numFmtId="0" fontId="22" fillId="6" borderId="0" xfId="0" applyFont="1" applyFill="1"/>
    <xf numFmtId="0" fontId="19" fillId="6" borderId="0" xfId="0" applyFont="1" applyFill="1"/>
    <xf numFmtId="0" fontId="16" fillId="6" borderId="0" xfId="0" applyFont="1" applyFill="1"/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11" fillId="0" borderId="0" xfId="0" applyFont="1"/>
    <xf numFmtId="0" fontId="28" fillId="0" borderId="0" xfId="0" applyFont="1" applyAlignment="1" applyProtection="1">
      <alignment horizontal="center"/>
    </xf>
    <xf numFmtId="0" fontId="11" fillId="6" borderId="0" xfId="0" applyFont="1" applyFill="1" applyAlignment="1" applyProtection="1">
      <alignment horizontal="right"/>
    </xf>
    <xf numFmtId="0" fontId="28" fillId="6" borderId="0" xfId="0" applyFont="1" applyFill="1" applyAlignment="1" applyProtection="1">
      <alignment horizontal="center"/>
    </xf>
    <xf numFmtId="0" fontId="11" fillId="6" borderId="0" xfId="0" applyFont="1" applyFill="1"/>
    <xf numFmtId="1" fontId="0" fillId="8" borderId="19" xfId="0" applyNumberFormat="1" applyFill="1" applyBorder="1" applyAlignment="1" applyProtection="1">
      <alignment horizontal="right"/>
    </xf>
    <xf numFmtId="0" fontId="0" fillId="2" borderId="20" xfId="0" applyFill="1" applyBorder="1" applyProtection="1"/>
    <xf numFmtId="0" fontId="0" fillId="9" borderId="15" xfId="0" applyFill="1" applyBorder="1" applyAlignment="1" applyProtection="1">
      <alignment horizontal="center"/>
      <protection locked="0"/>
    </xf>
    <xf numFmtId="0" fontId="0" fillId="9" borderId="15" xfId="0" applyFill="1" applyBorder="1" applyProtection="1">
      <protection locked="0"/>
    </xf>
    <xf numFmtId="1" fontId="0" fillId="10" borderId="2" xfId="0" applyNumberFormat="1" applyFill="1" applyBorder="1" applyProtection="1"/>
    <xf numFmtId="0" fontId="0" fillId="10" borderId="2" xfId="0" applyFill="1" applyBorder="1" applyProtection="1"/>
    <xf numFmtId="1" fontId="0" fillId="10" borderId="0" xfId="0" applyNumberFormat="1" applyFill="1" applyBorder="1" applyProtection="1"/>
    <xf numFmtId="1" fontId="0" fillId="10" borderId="7" xfId="0" applyNumberFormat="1" applyFill="1" applyBorder="1" applyProtection="1"/>
    <xf numFmtId="0" fontId="0" fillId="10" borderId="3" xfId="0" applyFill="1" applyBorder="1" applyProtection="1"/>
    <xf numFmtId="1" fontId="0" fillId="10" borderId="3" xfId="0" applyNumberFormat="1" applyFill="1" applyBorder="1" applyProtection="1"/>
    <xf numFmtId="0" fontId="0" fillId="10" borderId="8" xfId="0" applyFill="1" applyBorder="1" applyProtection="1"/>
    <xf numFmtId="0" fontId="29" fillId="6" borderId="0" xfId="0" applyFont="1" applyFill="1" applyProtection="1"/>
    <xf numFmtId="1" fontId="0" fillId="10" borderId="33" xfId="0" applyNumberFormat="1" applyFill="1" applyBorder="1" applyProtection="1"/>
    <xf numFmtId="0" fontId="4" fillId="3" borderId="19" xfId="0" applyFont="1" applyFill="1" applyBorder="1" applyProtection="1"/>
    <xf numFmtId="0" fontId="0" fillId="2" borderId="21" xfId="0" applyFill="1" applyBorder="1" applyAlignment="1" applyProtection="1"/>
    <xf numFmtId="0" fontId="0" fillId="0" borderId="22" xfId="0" applyBorder="1" applyAlignment="1" applyProtection="1"/>
    <xf numFmtId="0" fontId="18" fillId="7" borderId="0" xfId="0" applyFont="1" applyFill="1" applyAlignment="1" applyProtection="1">
      <alignment horizontal="center"/>
    </xf>
    <xf numFmtId="0" fontId="17" fillId="0" borderId="0" xfId="0" applyFont="1" applyAlignment="1">
      <alignment horizontal="center"/>
    </xf>
    <xf numFmtId="0" fontId="0" fillId="2" borderId="13" xfId="0" applyFill="1" applyBorder="1" applyAlignment="1" applyProtection="1"/>
    <xf numFmtId="0" fontId="0" fillId="0" borderId="23" xfId="0" applyBorder="1" applyAlignment="1" applyProtection="1"/>
    <xf numFmtId="0" fontId="0" fillId="0" borderId="23" xfId="0" applyBorder="1" applyAlignment="1"/>
    <xf numFmtId="0" fontId="0" fillId="0" borderId="24" xfId="0" applyBorder="1" applyAlignment="1"/>
    <xf numFmtId="0" fontId="0" fillId="5" borderId="1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left"/>
    </xf>
    <xf numFmtId="0" fontId="0" fillId="2" borderId="30" xfId="0" applyFill="1" applyBorder="1" applyAlignment="1" applyProtection="1">
      <alignment horizontal="left"/>
    </xf>
    <xf numFmtId="0" fontId="0" fillId="0" borderId="30" xfId="0" applyBorder="1" applyAlignment="1"/>
    <xf numFmtId="0" fontId="0" fillId="0" borderId="31" xfId="0" applyBorder="1" applyAlignment="1"/>
    <xf numFmtId="0" fontId="0" fillId="0" borderId="22" xfId="0" applyBorder="1" applyAlignment="1"/>
    <xf numFmtId="0" fontId="0" fillId="0" borderId="32" xfId="0" applyBorder="1" applyAlignment="1"/>
    <xf numFmtId="0" fontId="10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6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5050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1</xdr:row>
      <xdr:rowOff>28575</xdr:rowOff>
    </xdr:from>
    <xdr:to>
      <xdr:col>9</xdr:col>
      <xdr:colOff>238125</xdr:colOff>
      <xdr:row>11</xdr:row>
      <xdr:rowOff>9525</xdr:rowOff>
    </xdr:to>
    <xdr:pic>
      <xdr:nvPicPr>
        <xdr:cNvPr id="1084" name="Picture 26" descr="E:\Excel\Signal Timing\diamond coord\diamond-phasing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5750"/>
          <a:ext cx="473392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5</xdr:col>
      <xdr:colOff>9525</xdr:colOff>
      <xdr:row>18</xdr:row>
      <xdr:rowOff>76200</xdr:rowOff>
    </xdr:to>
    <xdr:pic>
      <xdr:nvPicPr>
        <xdr:cNvPr id="2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8700"/>
          <a:ext cx="1743075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9</xdr:col>
      <xdr:colOff>581025</xdr:colOff>
      <xdr:row>18</xdr:row>
      <xdr:rowOff>57150</xdr:rowOff>
    </xdr:to>
    <xdr:pic>
      <xdr:nvPicPr>
        <xdr:cNvPr id="21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857250"/>
          <a:ext cx="1724025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409575</xdr:colOff>
      <xdr:row>0</xdr:row>
      <xdr:rowOff>133350</xdr:rowOff>
    </xdr:from>
    <xdr:to>
      <xdr:col>24</xdr:col>
      <xdr:colOff>246711</xdr:colOff>
      <xdr:row>11</xdr:row>
      <xdr:rowOff>152143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48450" y="133350"/>
          <a:ext cx="7514286" cy="2057143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12</xdr:row>
      <xdr:rowOff>142875</xdr:rowOff>
    </xdr:from>
    <xdr:to>
      <xdr:col>23</xdr:col>
      <xdr:colOff>75356</xdr:colOff>
      <xdr:row>22</xdr:row>
      <xdr:rowOff>114076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48450" y="2343150"/>
          <a:ext cx="6752381" cy="17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76200</xdr:rowOff>
    </xdr:from>
    <xdr:to>
      <xdr:col>4</xdr:col>
      <xdr:colOff>542925</xdr:colOff>
      <xdr:row>18</xdr:row>
      <xdr:rowOff>104775</xdr:rowOff>
    </xdr:to>
    <xdr:pic>
      <xdr:nvPicPr>
        <xdr:cNvPr id="3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781050"/>
          <a:ext cx="1771650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95250</xdr:rowOff>
    </xdr:from>
    <xdr:to>
      <xdr:col>9</xdr:col>
      <xdr:colOff>581025</xdr:colOff>
      <xdr:row>18</xdr:row>
      <xdr:rowOff>104775</xdr:rowOff>
    </xdr:to>
    <xdr:pic>
      <xdr:nvPicPr>
        <xdr:cNvPr id="3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00100"/>
          <a:ext cx="172402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228600</xdr:colOff>
      <xdr:row>13</xdr:row>
      <xdr:rowOff>28575</xdr:rowOff>
    </xdr:from>
    <xdr:to>
      <xdr:col>20</xdr:col>
      <xdr:colOff>189988</xdr:colOff>
      <xdr:row>22</xdr:row>
      <xdr:rowOff>9319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0" y="2428875"/>
          <a:ext cx="4095238" cy="16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0</xdr:row>
      <xdr:rowOff>238125</xdr:rowOff>
    </xdr:from>
    <xdr:to>
      <xdr:col>24</xdr:col>
      <xdr:colOff>446732</xdr:colOff>
      <xdr:row>11</xdr:row>
      <xdr:rowOff>66437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81825" y="238125"/>
          <a:ext cx="7542857" cy="19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76200</xdr:rowOff>
    </xdr:from>
    <xdr:to>
      <xdr:col>4</xdr:col>
      <xdr:colOff>704850</xdr:colOff>
      <xdr:row>18</xdr:row>
      <xdr:rowOff>104775</xdr:rowOff>
    </xdr:to>
    <xdr:pic>
      <xdr:nvPicPr>
        <xdr:cNvPr id="41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781050"/>
          <a:ext cx="210502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3</xdr:row>
      <xdr:rowOff>95250</xdr:rowOff>
    </xdr:from>
    <xdr:to>
      <xdr:col>9</xdr:col>
      <xdr:colOff>752475</xdr:colOff>
      <xdr:row>18</xdr:row>
      <xdr:rowOff>104775</xdr:rowOff>
    </xdr:to>
    <xdr:pic>
      <xdr:nvPicPr>
        <xdr:cNvPr id="41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828675"/>
          <a:ext cx="223837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247650</xdr:rowOff>
    </xdr:from>
    <xdr:to>
      <xdr:col>17</xdr:col>
      <xdr:colOff>399461</xdr:colOff>
      <xdr:row>21</xdr:row>
      <xdr:rowOff>180498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58125" y="247650"/>
          <a:ext cx="4714286" cy="3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workbookViewId="0">
      <selection activeCell="F39" sqref="F39"/>
    </sheetView>
  </sheetViews>
  <sheetFormatPr defaultColWidth="8.85546875" defaultRowHeight="12.75" x14ac:dyDescent="0.2"/>
  <cols>
    <col min="1" max="1" width="3" customWidth="1"/>
    <col min="2" max="2" width="12.28515625" customWidth="1"/>
    <col min="9" max="9" width="10" customWidth="1"/>
  </cols>
  <sheetData>
    <row r="1" spans="2:12" ht="20.25" x14ac:dyDescent="0.3">
      <c r="B1" s="43" t="s">
        <v>85</v>
      </c>
      <c r="D1" s="2"/>
      <c r="E1" s="2"/>
      <c r="F1" s="2"/>
      <c r="G1" s="2"/>
      <c r="H1" s="2"/>
      <c r="I1" s="2"/>
      <c r="J1" s="2"/>
      <c r="K1" s="2"/>
    </row>
    <row r="2" spans="2:12" ht="20.25" x14ac:dyDescent="0.3">
      <c r="B2" s="43">
        <v>1</v>
      </c>
      <c r="D2" s="2"/>
      <c r="E2" s="2"/>
      <c r="F2" s="2"/>
      <c r="G2" s="2"/>
      <c r="H2" s="2"/>
      <c r="I2" s="2"/>
      <c r="J2" s="2"/>
      <c r="K2" s="2"/>
    </row>
    <row r="3" spans="2:12" ht="20.25" x14ac:dyDescent="0.3">
      <c r="B3" s="43"/>
      <c r="D3" s="2"/>
      <c r="E3" s="2"/>
      <c r="F3" s="2"/>
      <c r="G3" s="2"/>
      <c r="H3" s="2"/>
      <c r="I3" s="2"/>
      <c r="J3" s="2"/>
      <c r="K3" s="2"/>
    </row>
    <row r="4" spans="2:12" ht="20.25" x14ac:dyDescent="0.3">
      <c r="B4" s="43"/>
      <c r="D4" s="2"/>
      <c r="E4" s="2"/>
      <c r="F4" s="2"/>
      <c r="G4" s="2"/>
      <c r="H4" s="2"/>
      <c r="I4" s="2"/>
      <c r="J4" s="2"/>
      <c r="K4" s="2"/>
    </row>
    <row r="5" spans="2:12" ht="20.25" x14ac:dyDescent="0.3">
      <c r="B5" s="43"/>
      <c r="D5" s="2"/>
      <c r="E5" s="2"/>
      <c r="F5" s="2"/>
      <c r="G5" s="2"/>
      <c r="H5" s="2"/>
      <c r="I5" s="2"/>
      <c r="J5" s="2"/>
      <c r="K5" s="2"/>
    </row>
    <row r="6" spans="2:12" ht="20.25" x14ac:dyDescent="0.3">
      <c r="B6" s="43"/>
      <c r="D6" s="2"/>
      <c r="E6" s="2"/>
      <c r="F6" s="2"/>
      <c r="G6" s="2"/>
      <c r="H6" s="2"/>
      <c r="I6" s="2"/>
      <c r="J6" s="2"/>
      <c r="K6" s="2"/>
    </row>
    <row r="7" spans="2:12" ht="20.25" x14ac:dyDescent="0.3">
      <c r="B7" s="43"/>
      <c r="D7" s="2"/>
      <c r="E7" s="2"/>
      <c r="F7" s="2"/>
      <c r="G7" s="2"/>
      <c r="H7" s="2"/>
      <c r="I7" s="2"/>
      <c r="J7" s="2"/>
      <c r="K7" s="2"/>
    </row>
    <row r="8" spans="2:12" ht="20.25" x14ac:dyDescent="0.3">
      <c r="B8" s="43"/>
      <c r="D8" s="2"/>
      <c r="E8" s="2"/>
      <c r="F8" s="2"/>
      <c r="G8" s="2"/>
      <c r="H8" s="2"/>
      <c r="I8" s="2"/>
      <c r="J8" s="2"/>
      <c r="K8" s="2"/>
    </row>
    <row r="9" spans="2:12" ht="20.25" x14ac:dyDescent="0.3">
      <c r="B9" s="43"/>
      <c r="D9" s="2"/>
      <c r="E9" s="2"/>
      <c r="F9" s="2"/>
      <c r="G9" s="2"/>
      <c r="H9" s="2"/>
      <c r="I9" s="2"/>
      <c r="J9" s="2"/>
      <c r="K9" s="2"/>
    </row>
    <row r="10" spans="2:12" ht="20.25" x14ac:dyDescent="0.3">
      <c r="B10" s="43"/>
      <c r="D10" s="2"/>
      <c r="E10" s="2"/>
      <c r="F10" s="2"/>
      <c r="G10" s="2"/>
      <c r="H10" s="2"/>
      <c r="I10" s="2"/>
      <c r="J10" s="2"/>
      <c r="K10" s="2"/>
    </row>
    <row r="11" spans="2:12" ht="20.25" x14ac:dyDescent="0.3">
      <c r="B11" s="43"/>
      <c r="D11" s="2"/>
      <c r="E11" s="2"/>
      <c r="F11" s="2"/>
      <c r="G11" s="2"/>
      <c r="H11" s="2"/>
      <c r="I11" s="2"/>
      <c r="J11" s="2"/>
      <c r="K11" s="2"/>
    </row>
    <row r="12" spans="2:12" ht="15.75" thickBot="1" x14ac:dyDescent="0.25">
      <c r="B12" s="10"/>
      <c r="C12" s="2"/>
      <c r="D12" s="2"/>
      <c r="E12" s="77"/>
      <c r="F12" s="76" t="str">
        <f>IF(OR(C17&lt;1,D17&lt;1,F17&lt;1,G17&lt;1,H17&lt;1,J17&lt;1,C26&lt;1,D26&lt;1,F26&lt;1,G26&lt;1,H26&lt;1,J26&lt;1),"Warning, Min Green Times Should Be at Least 1""","")</f>
        <v/>
      </c>
      <c r="G12" s="75"/>
      <c r="H12" s="77"/>
      <c r="I12" s="77"/>
      <c r="J12" s="77"/>
      <c r="K12" s="2"/>
    </row>
    <row r="13" spans="2:12" ht="15.75" thickBot="1" x14ac:dyDescent="0.25">
      <c r="B13" s="97" t="s">
        <v>8</v>
      </c>
      <c r="C13" s="98"/>
      <c r="D13" s="21">
        <v>11</v>
      </c>
      <c r="E13" s="75"/>
      <c r="F13" s="76" t="str">
        <f>IF(OR(C18&lt;3,D18&lt;3,F18&lt;3,G18&lt;3,H18&lt;3,J18&lt;3,C27&lt;3,D27&lt;3,F27&lt;3,G27&lt;3,H27&lt;3,J27&lt;3),"Warning, yellow phase time &lt; 3""","")</f>
        <v/>
      </c>
      <c r="G13" s="75"/>
      <c r="H13" s="77"/>
      <c r="I13" s="77"/>
      <c r="J13" s="77"/>
      <c r="K13" s="2"/>
      <c r="L13" s="94" t="s">
        <v>92</v>
      </c>
    </row>
    <row r="14" spans="2:12" ht="13.5" thickBo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2" ht="13.5" thickBot="1" x14ac:dyDescent="0.25">
      <c r="B15" s="6" t="s">
        <v>12</v>
      </c>
      <c r="C15" s="11">
        <v>1</v>
      </c>
      <c r="D15" s="11">
        <v>2</v>
      </c>
      <c r="E15" s="11">
        <v>3</v>
      </c>
      <c r="F15" s="11">
        <v>4</v>
      </c>
      <c r="G15" s="11">
        <v>5</v>
      </c>
      <c r="H15" s="11">
        <v>6</v>
      </c>
      <c r="I15" s="11">
        <v>7</v>
      </c>
      <c r="J15" s="12">
        <v>8</v>
      </c>
      <c r="K15" s="2"/>
    </row>
    <row r="16" spans="2:12" ht="13.5" thickBot="1" x14ac:dyDescent="0.25">
      <c r="B16" s="13" t="s">
        <v>49</v>
      </c>
      <c r="C16" s="21">
        <v>0</v>
      </c>
      <c r="D16" s="21">
        <v>0</v>
      </c>
      <c r="E16" s="85"/>
      <c r="F16" s="21">
        <v>0</v>
      </c>
      <c r="G16" s="21">
        <v>0</v>
      </c>
      <c r="H16" s="21">
        <v>0</v>
      </c>
      <c r="I16" s="85"/>
      <c r="J16" s="21">
        <v>0</v>
      </c>
      <c r="K16" s="2"/>
    </row>
    <row r="17" spans="2:11" ht="13.5" thickBot="1" x14ac:dyDescent="0.25">
      <c r="B17" s="13" t="s">
        <v>0</v>
      </c>
      <c r="C17" s="20">
        <v>3</v>
      </c>
      <c r="D17" s="20">
        <v>3</v>
      </c>
      <c r="E17" s="86">
        <v>3</v>
      </c>
      <c r="F17" s="20">
        <v>3</v>
      </c>
      <c r="G17" s="20">
        <v>3</v>
      </c>
      <c r="H17" s="20">
        <v>3</v>
      </c>
      <c r="I17" s="86">
        <v>3</v>
      </c>
      <c r="J17" s="20">
        <v>3</v>
      </c>
      <c r="K17" s="2"/>
    </row>
    <row r="18" spans="2:11" ht="13.5" thickBot="1" x14ac:dyDescent="0.25">
      <c r="B18" s="14" t="s">
        <v>1</v>
      </c>
      <c r="C18" s="20">
        <v>3</v>
      </c>
      <c r="D18" s="20">
        <v>3</v>
      </c>
      <c r="E18" s="86">
        <v>3</v>
      </c>
      <c r="F18" s="20">
        <v>3</v>
      </c>
      <c r="G18" s="20">
        <v>3</v>
      </c>
      <c r="H18" s="20">
        <v>3</v>
      </c>
      <c r="I18" s="86">
        <v>3</v>
      </c>
      <c r="J18" s="20">
        <v>3</v>
      </c>
      <c r="K18" s="2"/>
    </row>
    <row r="19" spans="2:11" ht="13.5" thickBot="1" x14ac:dyDescent="0.25">
      <c r="B19" s="15" t="s">
        <v>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"/>
    </row>
    <row r="20" spans="2:11" x14ac:dyDescent="0.2">
      <c r="B20" s="19" t="s">
        <v>65</v>
      </c>
      <c r="C20" s="19">
        <f>IF(C16=1,ROUND(SUM(C17:C19),0),ROUND(SUM(C17:C19)*(1+$D13/100),0))+IF(C17&lt;2,1,0)</f>
        <v>7</v>
      </c>
      <c r="D20" s="19">
        <f>IF(D16=1,ROUND(SUM(D17:D19),0),ROUND(SUM(D17:D19)*(1+$D13/100),0))+J29+IF(D17&lt;2,1,0)</f>
        <v>13</v>
      </c>
      <c r="E20" s="19"/>
      <c r="F20" s="19">
        <f>IF(F16=1,ROUND(SUM(F17:F19),0),ROUND(SUM(F17:F19)*(1+$D13/100),0))+IF(F17&lt;2,1,0)</f>
        <v>7</v>
      </c>
      <c r="G20" s="19">
        <f>IF(G16=1,ROUND(SUM(G17:G19),0),ROUND(SUM(G17:G19)*(1+$D13/100),0))+IF(G17&lt;2,1,0)</f>
        <v>7</v>
      </c>
      <c r="H20" s="19">
        <f>IF(H16=1,ROUND(SUM(H17:H19),0),ROUND(SUM(H17:H19)*(1+$D13/100),0))+F29+IF(H17&lt;2,1,0)</f>
        <v>13</v>
      </c>
      <c r="I20" s="19"/>
      <c r="J20" s="19">
        <f>IF(J16=1,ROUND(SUM(J17:J19),0),ROUND(SUM(J17:J19)*(1+$D13/100),0))+IF(J17&lt;2,1,0)</f>
        <v>7</v>
      </c>
      <c r="K20" s="2"/>
    </row>
    <row r="21" spans="2:11" x14ac:dyDescent="0.2">
      <c r="B21" s="19" t="s">
        <v>66</v>
      </c>
      <c r="C21" s="19">
        <f>IF(C16=1,ROUND(SUM(C17:C19),0),ROUND(SUM(C17:C19)*(1+$D13/100),0))+IF(C17&lt;2,1,0)</f>
        <v>7</v>
      </c>
      <c r="D21" s="19">
        <f>IF(D16=1,ROUND(SUM(D17:D19),0),ROUND(SUM(D17:D19)*(1+$D13/100),0))+IF(D17&lt;2,1,0)</f>
        <v>7</v>
      </c>
      <c r="E21" s="19"/>
      <c r="F21" s="19">
        <f>IF(F16=1,ROUND(SUM(F17:F19),0),ROUND(SUM(F17:F19)*(1+$D13/100),0))+IF(F17&lt;2,1,0)</f>
        <v>7</v>
      </c>
      <c r="G21" s="19">
        <f>IF(G16=1,ROUND(SUM(G17:G19),0),ROUND(SUM(G17:G19)*(1+$D13/100),0))+IF(G17&lt;2,1,0)</f>
        <v>7</v>
      </c>
      <c r="H21" s="19">
        <f>IF(H16=1,ROUND(SUM(H17:H19),0),ROUND(SUM(H17:H19)*(1+$D13/100),0))+IF(H17&lt;2,1,0)</f>
        <v>7</v>
      </c>
      <c r="I21" s="19"/>
      <c r="J21" s="19">
        <f>IF(J16=1,ROUND(SUM(J17:J19),0),ROUND(SUM(J17:J19)*(1+$D13/100),0))+IF(J17&lt;2,1,0)</f>
        <v>7</v>
      </c>
      <c r="K21" s="2"/>
    </row>
    <row r="22" spans="2:11" x14ac:dyDescent="0.2">
      <c r="B22" s="19" t="s">
        <v>87</v>
      </c>
      <c r="C22" s="19">
        <f>IF(C16=1,ROUND(SUM(C17:C19),0),ROUND(SUM(C17:C19)*(1+$D13/100),0))+IF(C17&lt;2,1,0) + F22</f>
        <v>14</v>
      </c>
      <c r="D22" s="19">
        <f t="shared" ref="D22:J22" si="0">IF(D16=1,ROUND(SUM(D17:D19),0),ROUND(SUM(D17:D19)*(1+$D13/100),0))+IF(D17&lt;2,1,0)</f>
        <v>7</v>
      </c>
      <c r="E22" s="19">
        <f t="shared" si="0"/>
        <v>7</v>
      </c>
      <c r="F22" s="19">
        <f t="shared" si="0"/>
        <v>7</v>
      </c>
      <c r="G22" s="19">
        <f t="shared" si="0"/>
        <v>7</v>
      </c>
      <c r="H22" s="19">
        <f t="shared" si="0"/>
        <v>7</v>
      </c>
      <c r="I22" s="19">
        <f t="shared" si="0"/>
        <v>7</v>
      </c>
      <c r="J22" s="19">
        <f t="shared" si="0"/>
        <v>7</v>
      </c>
      <c r="K22" s="2"/>
    </row>
    <row r="23" spans="2:11" ht="13.5" thickBot="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3.5" thickBot="1" x14ac:dyDescent="0.25">
      <c r="B24" s="6" t="s">
        <v>12</v>
      </c>
      <c r="C24" s="11">
        <v>9</v>
      </c>
      <c r="D24" s="11">
        <v>10</v>
      </c>
      <c r="E24" s="11">
        <v>11</v>
      </c>
      <c r="F24" s="11">
        <v>12</v>
      </c>
      <c r="G24" s="11">
        <v>13</v>
      </c>
      <c r="H24" s="11">
        <v>14</v>
      </c>
      <c r="I24" s="11">
        <v>15</v>
      </c>
      <c r="J24" s="12">
        <v>16</v>
      </c>
      <c r="K24" s="2"/>
    </row>
    <row r="25" spans="2:11" ht="13.5" thickBot="1" x14ac:dyDescent="0.25">
      <c r="B25" s="13" t="s">
        <v>49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"/>
    </row>
    <row r="26" spans="2:11" ht="13.5" thickBot="1" x14ac:dyDescent="0.25">
      <c r="B26" s="13" t="s">
        <v>0</v>
      </c>
      <c r="C26" s="20">
        <v>3</v>
      </c>
      <c r="D26" s="20">
        <v>3</v>
      </c>
      <c r="E26" s="20">
        <v>2</v>
      </c>
      <c r="F26" s="20">
        <v>2</v>
      </c>
      <c r="G26" s="20">
        <v>3</v>
      </c>
      <c r="H26" s="20">
        <v>3</v>
      </c>
      <c r="I26" s="20">
        <v>2</v>
      </c>
      <c r="J26" s="20">
        <v>2</v>
      </c>
      <c r="K26" s="2"/>
    </row>
    <row r="27" spans="2:11" ht="13.5" thickBot="1" x14ac:dyDescent="0.25">
      <c r="B27" s="14" t="s">
        <v>1</v>
      </c>
      <c r="C27" s="20">
        <v>3</v>
      </c>
      <c r="D27" s="20">
        <v>3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"/>
    </row>
    <row r="28" spans="2:11" ht="13.5" thickBot="1" x14ac:dyDescent="0.25">
      <c r="B28" s="15" t="s">
        <v>2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"/>
    </row>
    <row r="29" spans="2:11" x14ac:dyDescent="0.2">
      <c r="B29" s="19" t="s">
        <v>65</v>
      </c>
      <c r="C29" s="19">
        <f>IF(C25=1,ROUND(SUM(C26:C28),0),ROUND(SUM(C26:C28)*(1+$D13/100),0))+IF(C26&lt;2,1,0)</f>
        <v>7</v>
      </c>
      <c r="D29" s="19"/>
      <c r="E29" s="19">
        <f>IF(E25=1,ROUND(SUM(E26:E28),0),ROUND(SUM(E26:E28)*(1+$D13/100),0))+IF(E26&lt;2,1,0)</f>
        <v>6</v>
      </c>
      <c r="F29" s="19">
        <f>IF(F25=1,ROUND(SUM(F26:F28),0),ROUND(SUM(F26:F28)*(1+$D13/100),0))+IF(F26&lt;2,1,0)</f>
        <v>6</v>
      </c>
      <c r="G29" s="19">
        <f>IF(G25=1,ROUND(SUM(G26:G28),0),ROUND(SUM(G26:G28)*(1+$D13/100),0))+IF(G26&lt;2,1,0)</f>
        <v>7</v>
      </c>
      <c r="H29" s="19"/>
      <c r="I29" s="19">
        <f>IF(I25=1,ROUND(SUM(I26:I28),0),ROUND(SUM(I26:I28)*(1+$D13/100),0))+IF(I26&lt;2,1,0)</f>
        <v>6</v>
      </c>
      <c r="J29" s="19">
        <f>IF(J25=1,ROUND(SUM(J26:J28),0),ROUND(SUM(J26:J28)*(1+$D13/100),0))+IF(J26&lt;2,1,0)</f>
        <v>6</v>
      </c>
      <c r="K29" s="2"/>
    </row>
    <row r="30" spans="2:11" x14ac:dyDescent="0.2">
      <c r="B30" s="19" t="s">
        <v>66</v>
      </c>
      <c r="C30" s="19"/>
      <c r="D30" s="19">
        <f>IF(D25=1,ROUND(SUM(D26:D28),0),ROUND(SUM(D26:D28)*(1+$D13/100),0))+IF(D26&lt;2,1,0)</f>
        <v>7</v>
      </c>
      <c r="E30" s="19"/>
      <c r="F30" s="19"/>
      <c r="G30" s="19"/>
      <c r="H30" s="19">
        <f>IF(H25=1,ROUND(SUM(H26:H28),0),ROUND(SUM(H26:H28)*(1+$D13/100),0))+IF(H26&lt;2,1,0)</f>
        <v>7</v>
      </c>
      <c r="I30" s="19"/>
      <c r="J30" s="19"/>
      <c r="K30" s="2"/>
    </row>
    <row r="31" spans="2:11" x14ac:dyDescent="0.2">
      <c r="B31" s="50"/>
      <c r="C31" s="29"/>
      <c r="D31" s="29"/>
      <c r="E31" s="29"/>
      <c r="F31" s="29"/>
      <c r="G31" s="29"/>
      <c r="H31" s="29"/>
      <c r="I31" s="29"/>
      <c r="J31" s="29"/>
      <c r="K31" s="2"/>
    </row>
    <row r="32" spans="2:11" ht="15" x14ac:dyDescent="0.25">
      <c r="B32" s="99" t="s">
        <v>60</v>
      </c>
      <c r="C32" s="100"/>
      <c r="D32" s="100"/>
      <c r="E32" s="100"/>
      <c r="F32" s="100"/>
      <c r="G32" s="100"/>
      <c r="H32" s="100"/>
      <c r="I32" s="100"/>
      <c r="J32" s="100"/>
      <c r="K32" s="2"/>
    </row>
    <row r="33" spans="1:11" ht="6" customHeight="1" x14ac:dyDescent="0.25">
      <c r="B33" s="56"/>
      <c r="C33" s="55"/>
      <c r="D33" s="55"/>
      <c r="E33" s="55"/>
      <c r="F33" s="55"/>
      <c r="G33" s="55"/>
      <c r="H33" s="55"/>
      <c r="I33" s="55"/>
      <c r="J33" s="55"/>
      <c r="K33" s="2"/>
    </row>
    <row r="34" spans="1:11" x14ac:dyDescent="0.2">
      <c r="B34" s="51" t="s">
        <v>42</v>
      </c>
      <c r="C34" s="29"/>
      <c r="D34" s="29"/>
      <c r="E34" s="29"/>
      <c r="F34" s="29"/>
      <c r="G34" s="29"/>
      <c r="H34" s="29"/>
      <c r="I34" s="29"/>
      <c r="J34" s="29"/>
      <c r="K34" s="2"/>
    </row>
    <row r="35" spans="1:11" ht="6" customHeight="1" thickBo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 thickBot="1" x14ac:dyDescent="0.25">
      <c r="A36" t="s">
        <v>14</v>
      </c>
      <c r="B36" s="112" t="s">
        <v>43</v>
      </c>
      <c r="C36" s="113"/>
      <c r="D36" s="114"/>
      <c r="E36" s="115"/>
      <c r="F36" s="106" t="s">
        <v>7</v>
      </c>
      <c r="G36" s="107"/>
      <c r="H36" s="7" t="s">
        <v>15</v>
      </c>
      <c r="I36" s="7"/>
      <c r="J36" s="8"/>
      <c r="K36" s="2"/>
    </row>
    <row r="37" spans="1:11" ht="13.5" thickBot="1" x14ac:dyDescent="0.25">
      <c r="B37" s="97" t="s">
        <v>74</v>
      </c>
      <c r="C37" s="98"/>
      <c r="D37" s="116"/>
      <c r="E37" s="117"/>
      <c r="F37" s="105">
        <v>8</v>
      </c>
      <c r="G37" s="105"/>
      <c r="H37" s="108">
        <f>IF(F37&gt;=J29,F37,"Phase 16 Min Conflict!")</f>
        <v>8</v>
      </c>
      <c r="I37" s="109"/>
      <c r="J37" s="16" t="s">
        <v>6</v>
      </c>
      <c r="K37" s="2"/>
    </row>
    <row r="38" spans="1:11" ht="13.5" thickBot="1" x14ac:dyDescent="0.25">
      <c r="B38" s="101" t="s">
        <v>75</v>
      </c>
      <c r="C38" s="102"/>
      <c r="D38" s="103"/>
      <c r="E38" s="104"/>
      <c r="F38" s="105">
        <v>8</v>
      </c>
      <c r="G38" s="105"/>
      <c r="H38" s="110">
        <f>IF(+F38&gt;=F29,F38,"Phase 12 Min Conflict")</f>
        <v>8</v>
      </c>
      <c r="I38" s="111"/>
      <c r="J38" s="17" t="s">
        <v>5</v>
      </c>
      <c r="K38" s="2"/>
    </row>
    <row r="41" spans="1:11" ht="18" x14ac:dyDescent="0.25">
      <c r="A41" s="44"/>
      <c r="B41" s="45" t="s">
        <v>17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1:1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2">
      <c r="A43" s="44" t="s">
        <v>18</v>
      </c>
      <c r="B43" s="44" t="s">
        <v>19</v>
      </c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2">
      <c r="A44" s="44"/>
      <c r="B44" s="44" t="s">
        <v>20</v>
      </c>
      <c r="C44" s="44"/>
      <c r="D44" s="44"/>
      <c r="E44" s="44"/>
      <c r="F44" s="44"/>
      <c r="G44" s="44"/>
      <c r="H44" s="44"/>
      <c r="I44" s="44"/>
      <c r="J44" s="44"/>
      <c r="K44" s="44"/>
    </row>
    <row r="45" spans="1:1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x14ac:dyDescent="0.2">
      <c r="A46" s="44"/>
      <c r="B46" s="44" t="s">
        <v>21</v>
      </c>
      <c r="C46" s="44"/>
      <c r="D46" s="44"/>
      <c r="E46" s="44"/>
      <c r="F46" s="44"/>
      <c r="G46" s="44"/>
      <c r="H46" s="44"/>
      <c r="I46" s="44"/>
      <c r="J46" s="44"/>
      <c r="K46" s="44"/>
    </row>
    <row r="47" spans="1:1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x14ac:dyDescent="0.2">
      <c r="A48" s="44" t="s">
        <v>22</v>
      </c>
      <c r="B48" s="44" t="s">
        <v>23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1:11" x14ac:dyDescent="0.2">
      <c r="A49" s="44"/>
      <c r="B49" s="44" t="s">
        <v>24</v>
      </c>
      <c r="C49" s="44"/>
      <c r="D49" s="44"/>
      <c r="E49" s="44"/>
      <c r="F49" s="44"/>
      <c r="G49" s="44"/>
      <c r="H49" s="44"/>
      <c r="I49" s="44"/>
      <c r="J49" s="44"/>
      <c r="K49" s="44"/>
    </row>
    <row r="50" spans="1:1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x14ac:dyDescent="0.2">
      <c r="A51" s="44"/>
      <c r="B51" s="44" t="s">
        <v>26</v>
      </c>
      <c r="C51" s="44"/>
      <c r="D51" s="44"/>
      <c r="E51" s="44"/>
      <c r="F51" s="44"/>
      <c r="G51" s="44"/>
      <c r="H51" s="44"/>
      <c r="I51" s="44"/>
      <c r="J51" s="44"/>
      <c r="K51" s="44"/>
    </row>
    <row r="52" spans="1:11" x14ac:dyDescent="0.2">
      <c r="A52" s="44"/>
      <c r="B52" s="44" t="s">
        <v>27</v>
      </c>
      <c r="C52" s="44"/>
      <c r="D52" s="44"/>
      <c r="E52" s="44"/>
      <c r="F52" s="44"/>
      <c r="G52" s="44"/>
      <c r="H52" s="44"/>
      <c r="I52" s="44"/>
      <c r="J52" s="44"/>
      <c r="K52" s="44"/>
    </row>
    <row r="53" spans="1:11" x14ac:dyDescent="0.2">
      <c r="A53" s="44"/>
      <c r="B53" s="44" t="s">
        <v>28</v>
      </c>
      <c r="C53" s="44"/>
      <c r="D53" s="44"/>
      <c r="E53" s="44"/>
      <c r="F53" s="44"/>
      <c r="G53" s="44"/>
      <c r="H53" s="44"/>
      <c r="I53" s="44"/>
      <c r="J53" s="44"/>
      <c r="K53" s="44"/>
    </row>
    <row r="54" spans="1:11" x14ac:dyDescent="0.2">
      <c r="A54" s="44"/>
    </row>
    <row r="55" spans="1:11" x14ac:dyDescent="0.2">
      <c r="A55" s="44" t="s">
        <v>25</v>
      </c>
      <c r="B55" s="44" t="s">
        <v>44</v>
      </c>
    </row>
    <row r="56" spans="1:11" x14ac:dyDescent="0.2">
      <c r="A56" s="44"/>
      <c r="B56" s="44" t="s">
        <v>54</v>
      </c>
    </row>
    <row r="57" spans="1:11" x14ac:dyDescent="0.2">
      <c r="A57" s="44"/>
      <c r="B57" s="44"/>
    </row>
    <row r="58" spans="1:11" x14ac:dyDescent="0.2">
      <c r="A58" s="44"/>
      <c r="B58" s="44" t="s">
        <v>55</v>
      </c>
    </row>
    <row r="59" spans="1:11" x14ac:dyDescent="0.2">
      <c r="A59" s="44"/>
      <c r="B59" s="44" t="s">
        <v>56</v>
      </c>
    </row>
    <row r="60" spans="1:11" x14ac:dyDescent="0.2">
      <c r="A60" s="44"/>
      <c r="B60" s="44" t="s">
        <v>57</v>
      </c>
    </row>
    <row r="61" spans="1:11" x14ac:dyDescent="0.2">
      <c r="A61" s="44"/>
    </row>
    <row r="62" spans="1:11" x14ac:dyDescent="0.2">
      <c r="A62" s="44" t="s">
        <v>32</v>
      </c>
      <c r="B62" s="44" t="s">
        <v>72</v>
      </c>
    </row>
    <row r="63" spans="1:11" x14ac:dyDescent="0.2">
      <c r="A63" s="44"/>
      <c r="B63" s="44"/>
      <c r="C63" s="44"/>
      <c r="D63" s="44"/>
      <c r="E63" s="44"/>
      <c r="F63" s="44"/>
    </row>
    <row r="64" spans="1:11" x14ac:dyDescent="0.2">
      <c r="A64" s="44" t="s">
        <v>52</v>
      </c>
      <c r="C64" s="44"/>
      <c r="D64" s="44"/>
      <c r="E64" s="44"/>
      <c r="F64" s="44"/>
    </row>
    <row r="66" spans="1:8" x14ac:dyDescent="0.2">
      <c r="A66" s="44"/>
      <c r="B66" s="44" t="s">
        <v>47</v>
      </c>
    </row>
    <row r="67" spans="1:8" x14ac:dyDescent="0.2">
      <c r="B67" s="44" t="s">
        <v>48</v>
      </c>
    </row>
    <row r="69" spans="1:8" x14ac:dyDescent="0.2">
      <c r="A69" s="44" t="s">
        <v>53</v>
      </c>
      <c r="B69" s="44" t="s">
        <v>51</v>
      </c>
    </row>
    <row r="71" spans="1:8" x14ac:dyDescent="0.2">
      <c r="A71" s="44" t="s">
        <v>50</v>
      </c>
      <c r="B71" s="44" t="s">
        <v>58</v>
      </c>
    </row>
    <row r="72" spans="1:8" x14ac:dyDescent="0.2">
      <c r="B72" s="44" t="s">
        <v>59</v>
      </c>
    </row>
    <row r="74" spans="1:8" x14ac:dyDescent="0.2">
      <c r="A74" s="44" t="s">
        <v>62</v>
      </c>
      <c r="B74" s="44" t="s">
        <v>63</v>
      </c>
    </row>
    <row r="75" spans="1:8" x14ac:dyDescent="0.2">
      <c r="B75" s="44" t="s">
        <v>64</v>
      </c>
    </row>
    <row r="77" spans="1:8" x14ac:dyDescent="0.2">
      <c r="A77" s="44" t="s">
        <v>73</v>
      </c>
      <c r="B77" s="44" t="s">
        <v>79</v>
      </c>
    </row>
    <row r="79" spans="1:8" x14ac:dyDescent="0.2">
      <c r="A79" s="44" t="s">
        <v>76</v>
      </c>
      <c r="B79" s="44" t="s">
        <v>77</v>
      </c>
      <c r="C79" s="44"/>
      <c r="D79" s="44"/>
      <c r="E79" s="44"/>
      <c r="F79" s="44"/>
      <c r="G79" s="44"/>
      <c r="H79" s="44"/>
    </row>
    <row r="80" spans="1:8" x14ac:dyDescent="0.2">
      <c r="A80" s="44"/>
      <c r="B80" s="44" t="s">
        <v>78</v>
      </c>
      <c r="C80" s="44"/>
      <c r="D80" s="44"/>
      <c r="E80" s="44"/>
      <c r="F80" s="44"/>
      <c r="G80" s="44"/>
      <c r="H80" s="44"/>
    </row>
    <row r="82" spans="1:2" x14ac:dyDescent="0.2">
      <c r="A82" s="44" t="s">
        <v>80</v>
      </c>
      <c r="B82" s="44" t="s">
        <v>81</v>
      </c>
    </row>
    <row r="84" spans="1:2" x14ac:dyDescent="0.2">
      <c r="A84" s="44">
        <v>12</v>
      </c>
      <c r="B84" s="44" t="s">
        <v>82</v>
      </c>
    </row>
    <row r="85" spans="1:2" x14ac:dyDescent="0.2">
      <c r="B85" s="44" t="s">
        <v>83</v>
      </c>
    </row>
  </sheetData>
  <sheetProtection sheet="1" objects="1" scenarios="1"/>
  <mergeCells count="10">
    <mergeCell ref="B13:C13"/>
    <mergeCell ref="B32:J32"/>
    <mergeCell ref="B38:E38"/>
    <mergeCell ref="F37:G37"/>
    <mergeCell ref="F36:G36"/>
    <mergeCell ref="H37:I37"/>
    <mergeCell ref="F38:G38"/>
    <mergeCell ref="H38:I38"/>
    <mergeCell ref="B36:E36"/>
    <mergeCell ref="B37:E37"/>
  </mergeCells>
  <phoneticPr fontId="0" type="noConversion"/>
  <pageMargins left="0.75" right="0.75" top="1" bottom="1" header="0.5" footer="0.5"/>
  <pageSetup orientation="portrait" horizontalDpi="200" verticalDpi="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Normal="100" workbookViewId="0">
      <selection activeCell="G4" sqref="G4"/>
    </sheetView>
  </sheetViews>
  <sheetFormatPr defaultColWidth="8.85546875" defaultRowHeight="12.75" x14ac:dyDescent="0.2"/>
  <cols>
    <col min="1" max="1" width="4" customWidth="1"/>
    <col min="2" max="2" width="9.85546875" customWidth="1"/>
  </cols>
  <sheetData>
    <row r="1" spans="1:12" ht="20.25" x14ac:dyDescent="0.3">
      <c r="A1" s="43" t="s">
        <v>16</v>
      </c>
      <c r="C1" s="2"/>
      <c r="D1" s="2"/>
      <c r="E1" s="2"/>
      <c r="F1" s="2"/>
      <c r="G1" s="2"/>
      <c r="H1" s="2"/>
      <c r="I1" s="94" t="s">
        <v>92</v>
      </c>
      <c r="J1" s="2"/>
      <c r="K1" s="2"/>
      <c r="L1" s="2"/>
    </row>
    <row r="2" spans="1:12" ht="13.5" thickBot="1" x14ac:dyDescent="0.25">
      <c r="B2" s="41" t="str">
        <f>CONCATENATE("Ch 4 = Olap 11 = Ø4 + Ø12  = ",D3+D4)</f>
        <v>Ch 4 = Olap 11 = Ø4 + Ø12  = 33</v>
      </c>
      <c r="C2" s="2"/>
      <c r="E2" s="2"/>
      <c r="F2" s="2"/>
      <c r="G2" s="2"/>
      <c r="J2" s="2"/>
      <c r="K2" s="2"/>
      <c r="L2" s="2"/>
    </row>
    <row r="3" spans="1:12" ht="16.5" thickTop="1" thickBot="1" x14ac:dyDescent="0.3">
      <c r="B3" s="2"/>
      <c r="C3" s="39" t="str">
        <f>CONCATENATE("Ø4 (", 'I. Timing Constants'!F20,")")</f>
        <v>Ø4 (7)</v>
      </c>
      <c r="D3" s="47">
        <v>25</v>
      </c>
      <c r="F3" s="46" t="s">
        <v>29</v>
      </c>
      <c r="G3" s="48">
        <v>100</v>
      </c>
      <c r="H3" s="25" t="str">
        <f>IF((B15+D3+K9+I20)&lt;&gt;G3," Error! Ø2+4+6+8 must equal cycle, not ","")</f>
        <v/>
      </c>
      <c r="I3" s="2"/>
      <c r="J3" s="2"/>
      <c r="K3" s="2"/>
      <c r="L3" s="52" t="str">
        <f>IF((B15+D3+K9+I20)&lt;&gt;G3,B15+D3+K9+I20,"")</f>
        <v/>
      </c>
    </row>
    <row r="4" spans="1:12" ht="17.25" customHeight="1" thickTop="1" thickBot="1" x14ac:dyDescent="0.35">
      <c r="B4" s="2"/>
      <c r="C4" s="40" t="str">
        <f>CONCATENATE("extension Ø12 (", 'I. Timing Constants'!H38,")")</f>
        <v>extension Ø12 (8)</v>
      </c>
      <c r="D4" s="47">
        <v>8</v>
      </c>
      <c r="E4" s="25" t="str">
        <f>IF(D4&gt;+'I. Timing Constants'!H38,"Extension &gt; travel time right to left","")</f>
        <v/>
      </c>
      <c r="G4" s="29"/>
      <c r="H4" s="2"/>
      <c r="I4" s="37" t="s">
        <v>4</v>
      </c>
      <c r="J4" s="2"/>
      <c r="L4" s="9"/>
    </row>
    <row r="5" spans="1:12" ht="13.5" thickTop="1" x14ac:dyDescent="0.2">
      <c r="B5" s="2"/>
      <c r="C5" s="2"/>
      <c r="D5" s="2"/>
      <c r="E5" s="2"/>
      <c r="F5" s="30"/>
      <c r="G5" s="31"/>
      <c r="H5" s="2"/>
      <c r="I5" s="2"/>
      <c r="J5" s="2"/>
      <c r="K5" s="2"/>
      <c r="L5" s="2"/>
    </row>
    <row r="6" spans="1:12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B7" s="2"/>
      <c r="C7" s="2"/>
      <c r="D7" s="2"/>
      <c r="E7" s="2"/>
      <c r="F7" s="118" t="s">
        <v>11</v>
      </c>
      <c r="G7" s="118"/>
      <c r="H7" s="2"/>
      <c r="I7" s="2"/>
      <c r="J7" s="2"/>
      <c r="K7" s="2"/>
      <c r="L7" s="2"/>
    </row>
    <row r="8" spans="1:12" ht="13.5" thickBot="1" x14ac:dyDescent="0.25">
      <c r="B8" s="2"/>
      <c r="C8" s="2"/>
      <c r="D8" s="2"/>
      <c r="E8" s="2"/>
      <c r="F8" s="118" t="s">
        <v>13</v>
      </c>
      <c r="G8" s="118"/>
      <c r="H8" s="2"/>
      <c r="I8" s="2"/>
      <c r="J8" s="2"/>
      <c r="K8" s="42" t="str">
        <f>CONCATENATE("Ø6 (", 'I. Timing Constants'!H20,")")</f>
        <v>Ø6 (13)</v>
      </c>
      <c r="L8" s="2"/>
    </row>
    <row r="9" spans="1:12" ht="14.25" thickTop="1" thickBot="1" x14ac:dyDescent="0.25">
      <c r="B9" s="2"/>
      <c r="C9" s="2"/>
      <c r="D9" s="2"/>
      <c r="E9" s="2"/>
      <c r="F9" s="23">
        <f>+B15+F12</f>
        <v>67</v>
      </c>
      <c r="G9" s="24"/>
      <c r="H9" s="2"/>
      <c r="I9" s="2"/>
      <c r="J9" s="2"/>
      <c r="K9" s="48">
        <v>25</v>
      </c>
      <c r="L9" s="2"/>
    </row>
    <row r="10" spans="1:12" ht="13.5" thickTop="1" x14ac:dyDescent="0.2">
      <c r="B10" s="2"/>
      <c r="C10" s="2"/>
      <c r="D10" s="2"/>
      <c r="E10" s="2"/>
      <c r="F10" s="24"/>
      <c r="G10" s="24"/>
      <c r="H10" s="2"/>
      <c r="I10" s="2"/>
      <c r="J10" s="2"/>
      <c r="K10" s="2"/>
      <c r="L10" s="2"/>
    </row>
    <row r="11" spans="1:12" x14ac:dyDescent="0.2">
      <c r="B11" s="2"/>
      <c r="C11" s="2"/>
      <c r="D11" s="2"/>
      <c r="E11" s="2"/>
      <c r="F11" s="24"/>
      <c r="G11" s="24"/>
      <c r="H11" s="2"/>
      <c r="I11" s="2"/>
      <c r="J11" s="2"/>
      <c r="K11" s="2"/>
      <c r="L11" s="2"/>
    </row>
    <row r="12" spans="1:12" x14ac:dyDescent="0.2">
      <c r="B12" s="2"/>
      <c r="C12" s="2"/>
      <c r="D12" s="2"/>
      <c r="E12" s="2"/>
      <c r="F12" s="23">
        <f>+G3-B15-D3-D4</f>
        <v>42</v>
      </c>
      <c r="G12" s="24"/>
      <c r="H12" s="2"/>
      <c r="I12" s="2"/>
      <c r="J12" s="2"/>
      <c r="K12" s="2"/>
      <c r="L12" s="2"/>
    </row>
    <row r="13" spans="1:12" x14ac:dyDescent="0.2">
      <c r="B13" s="2"/>
      <c r="C13" s="2"/>
      <c r="D13" s="2"/>
      <c r="E13" s="2"/>
      <c r="F13" s="24"/>
      <c r="G13" s="24">
        <f>+G3-K9-I20-I21</f>
        <v>42</v>
      </c>
      <c r="H13" s="2"/>
      <c r="I13" s="2"/>
      <c r="J13" s="2"/>
      <c r="K13" s="2"/>
      <c r="L13" s="2"/>
    </row>
    <row r="14" spans="1:12" ht="13.5" thickBot="1" x14ac:dyDescent="0.25">
      <c r="B14" s="42" t="str">
        <f>CONCATENATE("Ø2 (", 'I. Timing Constants'!D20,")")</f>
        <v>Ø2 (13)</v>
      </c>
      <c r="C14" s="2"/>
      <c r="D14" s="2"/>
      <c r="E14" s="2"/>
      <c r="F14" s="24"/>
      <c r="G14" s="24"/>
      <c r="H14" s="2"/>
      <c r="I14" s="2"/>
      <c r="J14" s="2"/>
      <c r="K14" s="2"/>
      <c r="L14" s="2"/>
    </row>
    <row r="15" spans="1:12" ht="14.25" thickTop="1" thickBot="1" x14ac:dyDescent="0.25">
      <c r="B15" s="48">
        <v>25</v>
      </c>
      <c r="C15" s="2"/>
      <c r="D15" s="2"/>
      <c r="E15" s="2"/>
      <c r="F15" s="24"/>
      <c r="G15" s="24">
        <f>+K9+G13</f>
        <v>67</v>
      </c>
      <c r="H15" s="2"/>
      <c r="I15" s="2"/>
      <c r="J15" s="2"/>
      <c r="K15" s="2"/>
      <c r="L15" s="2"/>
    </row>
    <row r="16" spans="1:12" ht="13.5" thickTop="1" x14ac:dyDescent="0.2">
      <c r="B16" s="2"/>
      <c r="C16" s="2"/>
      <c r="D16" s="2"/>
      <c r="E16" s="2"/>
      <c r="F16" s="18"/>
      <c r="G16" s="18"/>
      <c r="H16" s="2"/>
      <c r="I16" s="2"/>
      <c r="J16" s="2"/>
      <c r="K16" s="2"/>
      <c r="L16" s="2"/>
    </row>
    <row r="17" spans="1:12" ht="16.5" x14ac:dyDescent="0.3">
      <c r="B17" s="2"/>
      <c r="C17" s="2"/>
      <c r="D17" s="2"/>
      <c r="E17" s="2"/>
      <c r="F17" s="119"/>
      <c r="G17" s="119"/>
      <c r="H17" s="2"/>
      <c r="I17" s="2"/>
      <c r="J17" s="2"/>
      <c r="K17" s="2"/>
      <c r="L17" s="2"/>
    </row>
    <row r="18" spans="1:12" x14ac:dyDescent="0.2">
      <c r="B18" s="2"/>
      <c r="C18" s="2"/>
      <c r="D18" s="2"/>
      <c r="E18" s="2"/>
      <c r="F18" s="120"/>
      <c r="G18" s="121"/>
      <c r="H18" s="2"/>
      <c r="I18" s="2"/>
      <c r="J18" s="2"/>
      <c r="K18" s="2"/>
      <c r="L18" s="2"/>
    </row>
    <row r="19" spans="1:12" ht="13.5" thickBot="1" x14ac:dyDescent="0.25">
      <c r="B19" s="2"/>
      <c r="C19" s="2"/>
      <c r="D19" s="2"/>
      <c r="E19" s="2"/>
      <c r="F19" s="121"/>
      <c r="G19" s="121"/>
      <c r="H19" s="2"/>
      <c r="I19" s="2"/>
      <c r="J19" s="2"/>
      <c r="L19" s="2"/>
    </row>
    <row r="20" spans="1:12" ht="16.5" thickTop="1" thickBot="1" x14ac:dyDescent="0.3">
      <c r="B20" s="2"/>
      <c r="C20" s="2"/>
      <c r="D20" s="37" t="s">
        <v>3</v>
      </c>
      <c r="E20" s="2"/>
      <c r="F20" s="22"/>
      <c r="G20" s="22"/>
      <c r="H20" s="39" t="str">
        <f>CONCATENATE("Ø8 (", 'I. Timing Constants'!J20,")")</f>
        <v>Ø8 (7)</v>
      </c>
      <c r="I20" s="48">
        <v>25</v>
      </c>
      <c r="L20" s="2"/>
    </row>
    <row r="21" spans="1:12" ht="15.75" customHeight="1" thickTop="1" thickBot="1" x14ac:dyDescent="0.35">
      <c r="B21" s="2"/>
      <c r="C21" s="2"/>
      <c r="D21" s="2"/>
      <c r="E21" s="2"/>
      <c r="F21" s="2"/>
      <c r="G21" s="2"/>
      <c r="H21" s="40" t="str">
        <f>CONCATENATE("extension Ø16 (", 'I. Timing Constants'!H37,")")</f>
        <v>extension Ø16 (8)</v>
      </c>
      <c r="I21" s="48">
        <v>8</v>
      </c>
      <c r="J21" s="25" t="str">
        <f>IF(I21&gt; 'I. Timing Constants'!H37,"Extension &gt; travel time left to right","")</f>
        <v/>
      </c>
      <c r="K21" s="2"/>
      <c r="L21" s="2"/>
    </row>
    <row r="22" spans="1:12" ht="14.25" thickTop="1" thickBot="1" x14ac:dyDescent="0.25">
      <c r="B22" s="2"/>
      <c r="C22" s="2"/>
      <c r="E22" s="2"/>
      <c r="G22" s="41" t="str">
        <f>CONCATENATE("Ch 8 = Olap 14 = Ø8 + Ø16  = ",I20+I21)</f>
        <v>Ch 8 = Olap 14 = Ø8 + Ø16  = 33</v>
      </c>
      <c r="J22" s="2"/>
      <c r="K22" s="2"/>
      <c r="L22" s="2"/>
    </row>
    <row r="23" spans="1:12" ht="13.5" thickBot="1" x14ac:dyDescent="0.25">
      <c r="B23" s="6" t="s">
        <v>12</v>
      </c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8">
        <v>8</v>
      </c>
      <c r="K23" s="2"/>
      <c r="L23" s="2"/>
    </row>
    <row r="24" spans="1:12" x14ac:dyDescent="0.2">
      <c r="B24" s="3" t="s">
        <v>9</v>
      </c>
      <c r="C24" s="87">
        <f>+F12</f>
        <v>42</v>
      </c>
      <c r="D24" s="88">
        <f>B15</f>
        <v>25</v>
      </c>
      <c r="E24" s="4">
        <v>0</v>
      </c>
      <c r="F24" s="89">
        <f>D3</f>
        <v>25</v>
      </c>
      <c r="G24" s="87">
        <f>+G13</f>
        <v>42</v>
      </c>
      <c r="H24" s="88">
        <f>K9</f>
        <v>25</v>
      </c>
      <c r="I24" s="4">
        <v>0</v>
      </c>
      <c r="J24" s="90">
        <f>I20</f>
        <v>25</v>
      </c>
      <c r="K24" s="2"/>
      <c r="L24" s="2"/>
    </row>
    <row r="25" spans="1:12" ht="13.5" thickBot="1" x14ac:dyDescent="0.25">
      <c r="B25" s="26" t="s">
        <v>10</v>
      </c>
      <c r="C25" s="27" t="str">
        <f>IF(+C24&lt; +'I. Timing Constants'!C20,"Error","")</f>
        <v/>
      </c>
      <c r="D25" s="27" t="str">
        <f>IF(+D24&lt; +'I. Timing Constants'!D20,"Error","")</f>
        <v/>
      </c>
      <c r="E25" s="28"/>
      <c r="F25" s="27" t="str">
        <f>IF(+F24&lt; +'I. Timing Constants'!F20,"Error","")</f>
        <v/>
      </c>
      <c r="G25" s="27" t="str">
        <f>IF(+G24&lt; +'I. Timing Constants'!G20,"Error","")</f>
        <v/>
      </c>
      <c r="H25" s="27" t="str">
        <f>IF(+H24&lt; +'I. Timing Constants'!H20,"Error","")</f>
        <v/>
      </c>
      <c r="I25" s="28"/>
      <c r="J25" s="27" t="str">
        <f>IF(+J24&lt; +'I. Timing Constants'!J20,"Error","")</f>
        <v/>
      </c>
      <c r="K25" s="2"/>
      <c r="L25" s="2"/>
    </row>
    <row r="26" spans="1:12" ht="13.5" thickBot="1" x14ac:dyDescent="0.25">
      <c r="B26" s="2"/>
      <c r="C26" s="53"/>
      <c r="D26" s="2"/>
      <c r="E26" s="2"/>
      <c r="F26" s="2"/>
      <c r="G26" s="2"/>
      <c r="H26" s="2"/>
      <c r="I26" s="2"/>
      <c r="J26" s="2"/>
      <c r="K26" s="2"/>
      <c r="L26" s="2"/>
    </row>
    <row r="27" spans="1:12" ht="13.5" thickBot="1" x14ac:dyDescent="0.25">
      <c r="B27" s="6" t="s">
        <v>12</v>
      </c>
      <c r="C27" s="7">
        <v>9</v>
      </c>
      <c r="D27" s="7">
        <v>10</v>
      </c>
      <c r="E27" s="7">
        <v>11</v>
      </c>
      <c r="F27" s="7">
        <v>12</v>
      </c>
      <c r="G27" s="7">
        <v>13</v>
      </c>
      <c r="H27" s="7">
        <v>14</v>
      </c>
      <c r="I27" s="7">
        <v>15</v>
      </c>
      <c r="J27" s="8">
        <v>16</v>
      </c>
      <c r="K27" s="2"/>
      <c r="L27" s="2"/>
    </row>
    <row r="28" spans="1:12" x14ac:dyDescent="0.2">
      <c r="B28" s="3" t="s">
        <v>9</v>
      </c>
      <c r="C28" s="95">
        <f>'I. Timing Constants'!C29+2</f>
        <v>9</v>
      </c>
      <c r="D28" s="5">
        <v>0</v>
      </c>
      <c r="E28" s="5">
        <v>0</v>
      </c>
      <c r="F28" s="91">
        <f>D4</f>
        <v>8</v>
      </c>
      <c r="G28" s="92">
        <f>'I. Timing Constants'!G29+2</f>
        <v>9</v>
      </c>
      <c r="H28" s="5">
        <v>0</v>
      </c>
      <c r="I28" s="5">
        <v>0</v>
      </c>
      <c r="J28" s="93">
        <f>I21</f>
        <v>8</v>
      </c>
      <c r="K28" s="2"/>
      <c r="L28" s="2"/>
    </row>
    <row r="29" spans="1:12" x14ac:dyDescent="0.2">
      <c r="B29" s="84" t="s">
        <v>86</v>
      </c>
      <c r="C29" s="96"/>
      <c r="D29" s="96"/>
      <c r="E29" s="83" t="s">
        <v>86</v>
      </c>
      <c r="F29" s="96"/>
      <c r="G29" s="96"/>
      <c r="H29" s="96"/>
      <c r="I29" s="83" t="s">
        <v>86</v>
      </c>
      <c r="J29" s="96"/>
      <c r="K29" s="2"/>
      <c r="L29" s="2"/>
    </row>
    <row r="30" spans="1:12" ht="13.5" thickBot="1" x14ac:dyDescent="0.25">
      <c r="A30" s="62"/>
      <c r="B30" s="26" t="s">
        <v>10</v>
      </c>
      <c r="C30" s="27"/>
      <c r="D30" s="27"/>
      <c r="E30" s="27"/>
      <c r="F30" s="27" t="str">
        <f>IF(AND(D4&gt;='I. Timing Constants'!F29,ISNUMBER('I. Timing Constants'!H38)),"","Error")</f>
        <v/>
      </c>
      <c r="G30" s="27"/>
      <c r="H30" s="27"/>
      <c r="I30" s="27"/>
      <c r="J30" s="27" t="str">
        <f>IF(AND(I21&gt;='I. Timing Constants'!F29,ISNUMBER('I. Timing Constants'!H37)),"","Error")</f>
        <v/>
      </c>
      <c r="K30" s="63"/>
      <c r="L30" s="59"/>
    </row>
    <row r="31" spans="1:12" ht="15.75" x14ac:dyDescent="0.25">
      <c r="A31" s="61" t="s">
        <v>31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1:12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44" t="s">
        <v>18</v>
      </c>
      <c r="B33" s="44" t="s">
        <v>34</v>
      </c>
      <c r="C33" s="44"/>
      <c r="D33" s="44"/>
      <c r="E33" s="44"/>
      <c r="F33" s="44"/>
      <c r="G33" s="44"/>
      <c r="H33" s="44"/>
      <c r="I33" s="44"/>
      <c r="J33" s="44"/>
      <c r="K33" s="44"/>
    </row>
    <row r="34" spans="1:1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x14ac:dyDescent="0.2">
      <c r="A35" s="44" t="s">
        <v>22</v>
      </c>
      <c r="B35" s="44" t="s">
        <v>88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1:1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x14ac:dyDescent="0.2">
      <c r="A37" s="44"/>
      <c r="B37" s="44" t="s">
        <v>89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x14ac:dyDescent="0.2">
      <c r="A39" s="44" t="s">
        <v>25</v>
      </c>
      <c r="B39" s="44" t="s">
        <v>93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1:1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x14ac:dyDescent="0.2">
      <c r="A41" s="44" t="s">
        <v>32</v>
      </c>
      <c r="B41" s="44" t="s">
        <v>61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1:1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x14ac:dyDescent="0.2">
      <c r="A43" s="54" t="s">
        <v>45</v>
      </c>
      <c r="B43" s="54" t="s">
        <v>94</v>
      </c>
      <c r="C43" s="44"/>
      <c r="D43" s="44"/>
      <c r="E43" s="44"/>
      <c r="F43" s="44"/>
      <c r="G43" s="44"/>
      <c r="H43" s="44"/>
      <c r="I43" s="44"/>
      <c r="J43" s="44"/>
      <c r="K43" s="44"/>
    </row>
    <row r="44" spans="1:11" x14ac:dyDescent="0.2">
      <c r="B44" s="54" t="s">
        <v>95</v>
      </c>
    </row>
  </sheetData>
  <sheetProtection sheet="1" objects="1" scenarios="1"/>
  <mergeCells count="4">
    <mergeCell ref="F7:G7"/>
    <mergeCell ref="F8:G8"/>
    <mergeCell ref="F17:G17"/>
    <mergeCell ref="F18:G19"/>
  </mergeCells>
  <phoneticPr fontId="0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C24" sqref="C24"/>
    </sheetView>
  </sheetViews>
  <sheetFormatPr defaultColWidth="8.85546875" defaultRowHeight="12.75" x14ac:dyDescent="0.2"/>
  <cols>
    <col min="1" max="1" width="4.28515625" customWidth="1"/>
    <col min="2" max="3" width="10" customWidth="1"/>
    <col min="6" max="6" width="9.7109375" customWidth="1"/>
  </cols>
  <sheetData>
    <row r="1" spans="1:12" ht="20.25" x14ac:dyDescent="0.3">
      <c r="A1" s="43" t="s">
        <v>33</v>
      </c>
      <c r="C1" s="2"/>
      <c r="D1" s="2"/>
      <c r="E1" s="2"/>
      <c r="F1" s="2"/>
      <c r="G1" s="2"/>
      <c r="H1" s="2"/>
      <c r="I1" s="94" t="s">
        <v>92</v>
      </c>
      <c r="J1" s="2"/>
      <c r="K1" s="2"/>
      <c r="L1" s="2"/>
    </row>
    <row r="2" spans="1:12" ht="18.75" thickBot="1" x14ac:dyDescent="0.3">
      <c r="B2" s="1"/>
      <c r="C2" s="2"/>
      <c r="D2" s="25" t="str">
        <f>IF(D3&lt;&gt;I21,"Error - Frontage Road Splits Must Be Equal","")</f>
        <v/>
      </c>
      <c r="E2" s="2"/>
      <c r="H2" s="2"/>
      <c r="J2" s="2"/>
      <c r="K2" s="2"/>
      <c r="L2" s="2"/>
    </row>
    <row r="3" spans="1:12" ht="16.5" thickTop="1" thickBot="1" x14ac:dyDescent="0.3">
      <c r="C3" s="39" t="str">
        <f>CONCATENATE("Ø4 (", 'I. Timing Constants'!F21,")")</f>
        <v>Ø4 (7)</v>
      </c>
      <c r="D3" s="49">
        <v>10</v>
      </c>
      <c r="F3" s="38" t="s">
        <v>29</v>
      </c>
      <c r="G3" s="48">
        <v>35</v>
      </c>
      <c r="H3" s="2"/>
      <c r="I3" s="37" t="s">
        <v>4</v>
      </c>
      <c r="J3" s="2"/>
      <c r="K3" s="2"/>
      <c r="L3" s="2"/>
    </row>
    <row r="4" spans="1:12" ht="13.5" thickTop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B6" s="2"/>
      <c r="C6" s="2"/>
      <c r="D6" s="2"/>
      <c r="E6" s="2"/>
      <c r="F6" s="118" t="s">
        <v>11</v>
      </c>
      <c r="G6" s="118"/>
      <c r="H6" s="2"/>
      <c r="I6" s="2"/>
      <c r="J6" s="2"/>
      <c r="K6" s="2"/>
      <c r="L6" s="2"/>
    </row>
    <row r="7" spans="1:12" x14ac:dyDescent="0.2">
      <c r="B7" s="2"/>
      <c r="C7" s="2"/>
      <c r="D7" s="2"/>
      <c r="E7" s="2"/>
      <c r="F7" s="118" t="s">
        <v>13</v>
      </c>
      <c r="G7" s="118"/>
      <c r="H7" s="2"/>
      <c r="I7" s="2"/>
      <c r="J7" s="2"/>
      <c r="K7" s="2"/>
      <c r="L7" s="2"/>
    </row>
    <row r="8" spans="1:12" ht="15.75" thickBot="1" x14ac:dyDescent="0.3">
      <c r="B8" s="2"/>
      <c r="C8" s="2"/>
      <c r="D8" s="2"/>
      <c r="E8" s="2"/>
      <c r="F8" s="18"/>
      <c r="G8" s="18"/>
      <c r="H8" s="2"/>
      <c r="I8" s="2"/>
      <c r="J8" s="2"/>
      <c r="K8" s="79" t="str">
        <f>CONCATENATE("Ø6 (", 'I. Timing Constants'!H21,")")</f>
        <v>Ø6 (7)</v>
      </c>
      <c r="L8" s="2"/>
    </row>
    <row r="9" spans="1:12" ht="14.25" thickTop="1" thickBot="1" x14ac:dyDescent="0.25">
      <c r="B9" s="2"/>
      <c r="C9" s="2"/>
      <c r="D9" s="2"/>
      <c r="E9" s="2"/>
      <c r="F9" s="33">
        <f>+B15+F12</f>
        <v>25</v>
      </c>
      <c r="G9" s="18"/>
      <c r="H9" s="2"/>
      <c r="I9" s="2"/>
      <c r="J9" s="2"/>
      <c r="K9" s="49">
        <v>15</v>
      </c>
      <c r="L9" s="2"/>
    </row>
    <row r="10" spans="1:12" ht="13.5" thickTop="1" x14ac:dyDescent="0.2">
      <c r="B10" s="2"/>
      <c r="C10" s="2"/>
      <c r="D10" s="2"/>
      <c r="E10" s="2"/>
      <c r="F10" s="18"/>
      <c r="G10" s="18"/>
      <c r="H10" s="2"/>
      <c r="I10" s="2"/>
      <c r="J10" s="2"/>
      <c r="K10" s="2"/>
      <c r="L10" s="2"/>
    </row>
    <row r="11" spans="1:12" x14ac:dyDescent="0.2">
      <c r="B11" s="2"/>
      <c r="C11" s="2"/>
      <c r="D11" s="2"/>
      <c r="E11" s="2"/>
      <c r="F11" s="18"/>
      <c r="G11" s="18"/>
      <c r="H11" s="2"/>
      <c r="I11" s="2"/>
      <c r="J11" s="2"/>
      <c r="K11" s="2"/>
      <c r="L11" s="2"/>
    </row>
    <row r="12" spans="1:12" x14ac:dyDescent="0.2">
      <c r="B12" s="2"/>
      <c r="C12" s="2"/>
      <c r="D12" s="2"/>
      <c r="E12" s="2"/>
      <c r="F12" s="33">
        <f>+G3-B15-D3</f>
        <v>10</v>
      </c>
      <c r="G12" s="35">
        <f>+G3-K9-I21</f>
        <v>10</v>
      </c>
      <c r="H12" s="2"/>
      <c r="I12" s="2"/>
      <c r="J12" s="2"/>
      <c r="K12" s="2"/>
      <c r="L12" s="2"/>
    </row>
    <row r="13" spans="1:12" x14ac:dyDescent="0.2">
      <c r="B13" s="2"/>
      <c r="C13" s="2"/>
      <c r="D13" s="2"/>
      <c r="E13" s="2"/>
      <c r="F13" s="32"/>
      <c r="G13" s="32"/>
      <c r="H13" s="2"/>
      <c r="I13" s="2"/>
      <c r="J13" s="2"/>
      <c r="K13" s="2"/>
      <c r="L13" s="2"/>
    </row>
    <row r="14" spans="1:12" ht="15.75" thickBot="1" x14ac:dyDescent="0.3">
      <c r="B14" s="79" t="str">
        <f>CONCATENATE("Ø2 (", 'I. Timing Constants'!D21,")")</f>
        <v>Ø2 (7)</v>
      </c>
      <c r="C14" s="2"/>
      <c r="D14" s="2"/>
      <c r="E14" s="2"/>
      <c r="F14" s="32"/>
      <c r="G14" s="32"/>
      <c r="H14" s="2"/>
      <c r="I14" s="2"/>
      <c r="J14" s="2"/>
      <c r="K14" s="2"/>
      <c r="L14" s="2"/>
    </row>
    <row r="15" spans="1:12" ht="14.25" thickTop="1" thickBot="1" x14ac:dyDescent="0.25">
      <c r="B15" s="48">
        <v>15</v>
      </c>
      <c r="C15" s="2"/>
      <c r="D15" s="2"/>
      <c r="E15" s="2"/>
      <c r="F15" s="32"/>
      <c r="G15" s="34">
        <f>+K9+G12</f>
        <v>25</v>
      </c>
      <c r="H15" s="2"/>
      <c r="I15" s="2"/>
      <c r="J15" s="2"/>
      <c r="K15" s="2"/>
      <c r="L15" s="2"/>
    </row>
    <row r="16" spans="1:12" ht="13.5" thickTop="1" x14ac:dyDescent="0.2">
      <c r="B16" s="2"/>
      <c r="C16" s="2"/>
      <c r="D16" s="2"/>
      <c r="E16" s="2"/>
      <c r="F16" s="32"/>
      <c r="G16" s="32"/>
      <c r="H16" s="2"/>
      <c r="I16" s="2"/>
      <c r="J16" s="2"/>
      <c r="K16" s="2"/>
      <c r="L16" s="2"/>
    </row>
    <row r="17" spans="1:12" ht="15.75" x14ac:dyDescent="0.25">
      <c r="B17" s="2"/>
      <c r="C17" s="2"/>
      <c r="D17" s="2"/>
      <c r="E17" s="2"/>
      <c r="F17" s="123"/>
      <c r="G17" s="124"/>
      <c r="H17" s="2"/>
      <c r="I17" s="2"/>
      <c r="J17" s="2"/>
      <c r="K17" s="2"/>
      <c r="L17" s="2"/>
    </row>
    <row r="18" spans="1:12" x14ac:dyDescent="0.2">
      <c r="B18" s="2"/>
      <c r="C18" s="2"/>
      <c r="D18" s="2"/>
      <c r="E18" s="2"/>
      <c r="F18" s="122"/>
      <c r="G18" s="122"/>
      <c r="H18" s="2"/>
      <c r="I18" s="2"/>
      <c r="J18" s="2"/>
      <c r="K18" s="2"/>
      <c r="L18" s="2"/>
    </row>
    <row r="19" spans="1:12" x14ac:dyDescent="0.2">
      <c r="B19" s="2"/>
      <c r="C19" s="2"/>
      <c r="D19" s="2"/>
      <c r="E19" s="2"/>
      <c r="F19" s="122"/>
      <c r="G19" s="122"/>
      <c r="H19" s="2"/>
      <c r="I19" s="2"/>
      <c r="J19" s="2"/>
      <c r="K19" s="2"/>
      <c r="L19" s="2"/>
    </row>
    <row r="20" spans="1:12" ht="15.75" thickBot="1" x14ac:dyDescent="0.3">
      <c r="B20" s="2"/>
      <c r="C20" s="2"/>
      <c r="D20" s="37" t="s">
        <v>3</v>
      </c>
      <c r="F20" s="2"/>
      <c r="G20" s="2"/>
      <c r="H20" s="2"/>
      <c r="I20" s="25" t="str">
        <f>IF(D3&lt;&gt;I21,"Error - Frontage Road Splits Must Be Equal","")</f>
        <v/>
      </c>
      <c r="J20" s="2"/>
      <c r="K20" s="2"/>
      <c r="L20" s="2"/>
    </row>
    <row r="21" spans="1:12" ht="16.5" thickTop="1" thickBot="1" x14ac:dyDescent="0.3">
      <c r="B21" s="2"/>
      <c r="C21" s="2"/>
      <c r="E21" s="2"/>
      <c r="F21" s="2"/>
      <c r="G21" s="2"/>
      <c r="H21" s="38"/>
      <c r="I21" s="49">
        <v>10</v>
      </c>
      <c r="J21" s="78" t="str">
        <f>CONCATENATE("Ø8 (", 'I. Timing Constants'!J21,")")</f>
        <v>Ø8 (7)</v>
      </c>
      <c r="K21" s="2"/>
      <c r="L21" s="2"/>
    </row>
    <row r="22" spans="1:12" ht="14.25" thickTop="1" thickBot="1" x14ac:dyDescent="0.25">
      <c r="B22" s="36" t="s">
        <v>38</v>
      </c>
      <c r="C22" s="2"/>
      <c r="H22" s="2"/>
      <c r="J22" s="2"/>
      <c r="K22" s="2"/>
      <c r="L22" s="2"/>
    </row>
    <row r="23" spans="1:12" ht="13.5" thickBot="1" x14ac:dyDescent="0.25">
      <c r="B23" s="6" t="s">
        <v>12</v>
      </c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8">
        <v>8</v>
      </c>
      <c r="K23" s="2"/>
      <c r="L23" s="2"/>
    </row>
    <row r="24" spans="1:12" x14ac:dyDescent="0.2">
      <c r="B24" s="3" t="s">
        <v>9</v>
      </c>
      <c r="C24" s="87">
        <f>+F12</f>
        <v>10</v>
      </c>
      <c r="D24" s="88">
        <f>+B15</f>
        <v>15</v>
      </c>
      <c r="E24" s="4">
        <v>0</v>
      </c>
      <c r="F24" s="87">
        <f>+D3</f>
        <v>10</v>
      </c>
      <c r="G24" s="87">
        <f>+G12</f>
        <v>10</v>
      </c>
      <c r="H24" s="88">
        <f>+K9</f>
        <v>15</v>
      </c>
      <c r="I24" s="4">
        <v>0</v>
      </c>
      <c r="J24" s="90">
        <f>+I21</f>
        <v>10</v>
      </c>
      <c r="K24" s="2"/>
      <c r="L24" s="2"/>
    </row>
    <row r="25" spans="1:12" ht="13.5" thickBot="1" x14ac:dyDescent="0.25">
      <c r="B25" s="26" t="s">
        <v>10</v>
      </c>
      <c r="C25" s="27" t="str">
        <f>IF(+C24&lt; +'I. Timing Constants'!C20*(1-'I. Timing Constants'!$D$13/100),"Error","")</f>
        <v/>
      </c>
      <c r="D25" s="27" t="str">
        <f>IF(+D24&lt; +'I. Timing Constants'!D20*(1-'I. Timing Constants'!$D$13/100),"Error","")</f>
        <v/>
      </c>
      <c r="E25" s="28"/>
      <c r="F25" s="27" t="str">
        <f>IF(+F24&lt; +'I. Timing Constants'!F20*(1-'I. Timing Constants'!$D$13/100),"Error","")</f>
        <v/>
      </c>
      <c r="G25" s="27" t="str">
        <f>IF(+G24&lt; +'I. Timing Constants'!G20*(1-'I. Timing Constants'!$D$13/100),"Error","")</f>
        <v/>
      </c>
      <c r="H25" s="27" t="str">
        <f>IF(+H24&lt; +'I. Timing Constants'!H20*(1-'I. Timing Constants'!$D$13/100),"Error","")</f>
        <v/>
      </c>
      <c r="I25" s="28"/>
      <c r="J25" s="27" t="str">
        <f>IF(+J24&lt; +'I. Timing Constants'!J20*(1-'I. Timing Constants'!$D$13/100),"Error","")</f>
        <v/>
      </c>
      <c r="K25" s="2"/>
      <c r="L25" s="2"/>
    </row>
    <row r="26" spans="1:12" ht="13.5" thickBo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thickBot="1" x14ac:dyDescent="0.25">
      <c r="B27" s="6" t="s">
        <v>12</v>
      </c>
      <c r="C27" s="7">
        <v>9</v>
      </c>
      <c r="D27" s="7">
        <v>10</v>
      </c>
      <c r="E27" s="7">
        <v>11</v>
      </c>
      <c r="F27" s="7">
        <v>12</v>
      </c>
      <c r="G27" s="7">
        <v>13</v>
      </c>
      <c r="H27" s="7">
        <v>14</v>
      </c>
      <c r="I27" s="7">
        <v>15</v>
      </c>
      <c r="J27" s="8">
        <v>16</v>
      </c>
      <c r="K27" s="2"/>
      <c r="L27" s="2"/>
    </row>
    <row r="28" spans="1:12" x14ac:dyDescent="0.2">
      <c r="B28" s="3" t="s">
        <v>9</v>
      </c>
      <c r="C28" s="5">
        <v>0</v>
      </c>
      <c r="D28" s="92">
        <f>'I. Timing Constants'!D30+2</f>
        <v>9</v>
      </c>
      <c r="E28" s="5">
        <v>0</v>
      </c>
      <c r="F28" s="5">
        <v>0</v>
      </c>
      <c r="G28" s="5">
        <v>0</v>
      </c>
      <c r="H28" s="92">
        <f>'I. Timing Constants'!H30+2</f>
        <v>9</v>
      </c>
      <c r="I28" s="5">
        <v>0</v>
      </c>
      <c r="J28" s="5">
        <v>0</v>
      </c>
      <c r="K28" s="2"/>
      <c r="L28" s="2"/>
    </row>
    <row r="29" spans="1:12" x14ac:dyDescent="0.2">
      <c r="B29" s="84" t="s">
        <v>86</v>
      </c>
      <c r="C29" s="83" t="s">
        <v>86</v>
      </c>
      <c r="D29" s="96"/>
      <c r="E29" s="96"/>
      <c r="F29" s="96"/>
      <c r="G29" s="83" t="s">
        <v>86</v>
      </c>
      <c r="H29" s="96"/>
      <c r="I29" s="96"/>
      <c r="J29" s="96"/>
      <c r="K29" s="2"/>
      <c r="L29" s="2"/>
    </row>
    <row r="30" spans="1:12" ht="13.5" thickBot="1" x14ac:dyDescent="0.25">
      <c r="B30" s="26" t="s">
        <v>10</v>
      </c>
      <c r="C30" s="27"/>
      <c r="D30" s="27"/>
      <c r="E30" s="28"/>
      <c r="F30" s="28"/>
      <c r="G30" s="27"/>
      <c r="H30" s="27"/>
      <c r="I30" s="28"/>
      <c r="J30" s="28"/>
      <c r="K30" s="2"/>
      <c r="L30" s="2"/>
    </row>
    <row r="31" spans="1:12" x14ac:dyDescent="0.2">
      <c r="A31" s="58"/>
      <c r="B31" s="59"/>
      <c r="C31" s="60"/>
      <c r="D31" s="60"/>
      <c r="E31" s="60"/>
      <c r="F31" s="60"/>
      <c r="G31" s="60"/>
      <c r="H31" s="59"/>
      <c r="I31" s="59"/>
      <c r="J31" s="59"/>
      <c r="K31" s="59"/>
    </row>
    <row r="32" spans="1:12" ht="15.75" x14ac:dyDescent="0.25">
      <c r="A32" s="57" t="s">
        <v>30</v>
      </c>
      <c r="C32" s="54"/>
      <c r="D32" s="54"/>
      <c r="E32" s="54"/>
      <c r="F32" s="54"/>
      <c r="G32" s="54"/>
    </row>
    <row r="33" spans="1:11" x14ac:dyDescent="0.2">
      <c r="A33" s="60"/>
      <c r="B33" s="60"/>
      <c r="C33" s="60"/>
      <c r="D33" s="60"/>
      <c r="E33" s="60"/>
      <c r="F33" s="60"/>
      <c r="G33" s="60"/>
      <c r="H33" s="59"/>
      <c r="I33" s="59"/>
      <c r="J33" s="59"/>
      <c r="K33" s="59"/>
    </row>
    <row r="34" spans="1:11" x14ac:dyDescent="0.2">
      <c r="A34" s="54" t="s">
        <v>18</v>
      </c>
      <c r="B34" s="54" t="s">
        <v>35</v>
      </c>
      <c r="C34" s="54"/>
      <c r="D34" s="54"/>
      <c r="E34" s="54"/>
      <c r="F34" s="54"/>
      <c r="G34" s="54"/>
    </row>
    <row r="35" spans="1:11" x14ac:dyDescent="0.2">
      <c r="A35" s="54"/>
      <c r="B35" s="54"/>
      <c r="C35" s="54"/>
      <c r="D35" s="54"/>
      <c r="E35" s="54"/>
      <c r="F35" s="54"/>
      <c r="G35" s="54"/>
    </row>
    <row r="36" spans="1:11" x14ac:dyDescent="0.2">
      <c r="A36" s="54" t="s">
        <v>22</v>
      </c>
      <c r="B36" s="54" t="s">
        <v>36</v>
      </c>
      <c r="C36" s="54"/>
      <c r="D36" s="54"/>
      <c r="E36" s="54"/>
      <c r="F36" s="54"/>
      <c r="G36" s="54"/>
    </row>
    <row r="37" spans="1:11" x14ac:dyDescent="0.2">
      <c r="A37" s="54"/>
      <c r="B37" s="54"/>
      <c r="C37" s="54"/>
      <c r="D37" s="54"/>
      <c r="E37" s="54"/>
      <c r="F37" s="54"/>
      <c r="G37" s="54"/>
    </row>
    <row r="38" spans="1:11" x14ac:dyDescent="0.2">
      <c r="A38" s="54"/>
      <c r="B38" s="54"/>
      <c r="C38" s="54" t="s">
        <v>37</v>
      </c>
      <c r="D38" s="54"/>
      <c r="E38" s="54"/>
      <c r="F38" s="54"/>
      <c r="G38" s="54"/>
    </row>
    <row r="39" spans="1:11" x14ac:dyDescent="0.2">
      <c r="A39" s="54"/>
      <c r="B39" s="54"/>
      <c r="C39" s="54"/>
      <c r="D39" s="54"/>
      <c r="E39" s="54"/>
      <c r="F39" s="54"/>
      <c r="G39" s="54"/>
    </row>
    <row r="40" spans="1:11" x14ac:dyDescent="0.2">
      <c r="A40" s="54"/>
      <c r="B40" s="54"/>
      <c r="C40" s="54" t="s">
        <v>41</v>
      </c>
      <c r="D40" s="54"/>
      <c r="E40" s="54"/>
      <c r="F40" s="54"/>
      <c r="G40" s="54"/>
    </row>
    <row r="41" spans="1:11" x14ac:dyDescent="0.2">
      <c r="A41" s="54"/>
      <c r="B41" s="54"/>
      <c r="C41" s="54"/>
      <c r="D41" s="54"/>
      <c r="E41" s="54"/>
      <c r="F41" s="54"/>
      <c r="G41" s="54"/>
    </row>
    <row r="42" spans="1:11" x14ac:dyDescent="0.2">
      <c r="A42" s="54" t="s">
        <v>25</v>
      </c>
      <c r="B42" s="54" t="s">
        <v>39</v>
      </c>
      <c r="C42" s="54"/>
      <c r="D42" s="54"/>
      <c r="E42" s="54"/>
      <c r="F42" s="54"/>
      <c r="G42" s="54"/>
    </row>
    <row r="43" spans="1:11" x14ac:dyDescent="0.2">
      <c r="A43" s="54"/>
      <c r="B43" s="54" t="s">
        <v>67</v>
      </c>
      <c r="C43" s="54"/>
      <c r="D43" s="54"/>
      <c r="E43" s="54"/>
      <c r="F43" s="54"/>
      <c r="G43" s="54"/>
    </row>
    <row r="44" spans="1:11" x14ac:dyDescent="0.2">
      <c r="A44" s="54"/>
      <c r="B44" s="54"/>
      <c r="C44" s="54"/>
      <c r="D44" s="54"/>
      <c r="E44" s="54"/>
      <c r="F44" s="54"/>
      <c r="G44" s="54"/>
    </row>
    <row r="45" spans="1:11" x14ac:dyDescent="0.2">
      <c r="A45" s="54" t="s">
        <v>32</v>
      </c>
      <c r="B45" s="54" t="s">
        <v>40</v>
      </c>
      <c r="C45" s="54"/>
      <c r="D45" s="54"/>
      <c r="E45" s="54"/>
      <c r="F45" s="54"/>
      <c r="G45" s="54"/>
    </row>
    <row r="46" spans="1:11" x14ac:dyDescent="0.2">
      <c r="A46" s="54"/>
      <c r="B46" s="54" t="s">
        <v>68</v>
      </c>
      <c r="C46" s="54"/>
      <c r="D46" s="54"/>
      <c r="E46" s="54"/>
      <c r="F46" s="54"/>
      <c r="G46" s="54"/>
    </row>
    <row r="48" spans="1:11" x14ac:dyDescent="0.2">
      <c r="A48" s="54" t="s">
        <v>45</v>
      </c>
      <c r="B48" s="54" t="s">
        <v>84</v>
      </c>
    </row>
    <row r="49" spans="1:2" x14ac:dyDescent="0.2">
      <c r="A49" s="54"/>
      <c r="B49" s="54"/>
    </row>
    <row r="50" spans="1:2" x14ac:dyDescent="0.2">
      <c r="A50" s="54" t="s">
        <v>53</v>
      </c>
      <c r="B50" s="54" t="s">
        <v>96</v>
      </c>
    </row>
    <row r="51" spans="1:2" x14ac:dyDescent="0.2">
      <c r="B51" s="54" t="s">
        <v>97</v>
      </c>
    </row>
  </sheetData>
  <sheetProtection sheet="1" objects="1" scenarios="1"/>
  <mergeCells count="4">
    <mergeCell ref="F7:G7"/>
    <mergeCell ref="F18:G19"/>
    <mergeCell ref="F17:G17"/>
    <mergeCell ref="F6:G6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24" sqref="K24"/>
    </sheetView>
  </sheetViews>
  <sheetFormatPr defaultColWidth="11.42578125" defaultRowHeight="12.75" x14ac:dyDescent="0.2"/>
  <cols>
    <col min="1" max="1" width="4.28515625" style="65" customWidth="1"/>
    <col min="2" max="3" width="10" style="65" customWidth="1"/>
    <col min="4" max="5" width="11.42578125" style="65" customWidth="1"/>
    <col min="6" max="6" width="9.7109375" style="65" customWidth="1"/>
    <col min="7" max="16384" width="11.42578125" style="65"/>
  </cols>
  <sheetData>
    <row r="1" spans="1:12" ht="20.25" x14ac:dyDescent="0.3">
      <c r="A1" s="64" t="s">
        <v>70</v>
      </c>
      <c r="C1" s="66"/>
      <c r="D1" s="66"/>
      <c r="E1" s="66"/>
      <c r="F1" s="66"/>
      <c r="G1" s="66"/>
      <c r="H1" s="66"/>
      <c r="I1" s="94" t="s">
        <v>92</v>
      </c>
      <c r="J1" s="66"/>
      <c r="K1" s="66"/>
      <c r="L1" s="66"/>
    </row>
    <row r="2" spans="1:12" ht="18.75" thickBot="1" x14ac:dyDescent="0.3">
      <c r="B2" s="67"/>
      <c r="C2" s="66"/>
      <c r="D2" s="68"/>
      <c r="E2" s="66"/>
      <c r="H2" s="66"/>
      <c r="J2" s="66"/>
      <c r="K2" s="66"/>
      <c r="L2" s="66"/>
    </row>
    <row r="3" spans="1:12" ht="16.5" thickTop="1" thickBot="1" x14ac:dyDescent="0.3">
      <c r="C3" s="80" t="str">
        <f>CONCATENATE("Ø4 (", 'I. Timing Constants'!F21,")")</f>
        <v>Ø4 (7)</v>
      </c>
      <c r="D3" s="49">
        <v>15</v>
      </c>
      <c r="F3" s="69" t="s">
        <v>29</v>
      </c>
      <c r="G3" s="48">
        <v>40</v>
      </c>
      <c r="H3" s="66"/>
      <c r="I3" s="70" t="s">
        <v>4</v>
      </c>
      <c r="J3" s="66"/>
      <c r="K3" s="66"/>
      <c r="L3" s="66"/>
    </row>
    <row r="4" spans="1:12" ht="13.5" thickTop="1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x14ac:dyDescent="0.2">
      <c r="B6" s="66"/>
      <c r="C6" s="66"/>
      <c r="D6" s="66"/>
      <c r="E6" s="66"/>
      <c r="F6" s="118" t="s">
        <v>11</v>
      </c>
      <c r="G6" s="118"/>
      <c r="H6" s="66"/>
      <c r="I6" s="66"/>
      <c r="J6" s="66"/>
      <c r="K6" s="66"/>
      <c r="L6" s="66"/>
    </row>
    <row r="7" spans="1:12" x14ac:dyDescent="0.2">
      <c r="B7" s="66"/>
      <c r="C7" s="66"/>
      <c r="D7" s="66"/>
      <c r="E7" s="66"/>
      <c r="F7" s="118" t="s">
        <v>13</v>
      </c>
      <c r="G7" s="118"/>
      <c r="H7" s="66"/>
      <c r="I7" s="66"/>
      <c r="J7" s="66"/>
      <c r="K7" s="66"/>
      <c r="L7" s="66"/>
    </row>
    <row r="8" spans="1:12" ht="15.75" thickBot="1" x14ac:dyDescent="0.3">
      <c r="B8" s="66"/>
      <c r="C8" s="66"/>
      <c r="D8" s="66"/>
      <c r="E8" s="66"/>
      <c r="F8" s="18"/>
      <c r="G8" s="18"/>
      <c r="H8" s="66"/>
      <c r="I8" s="66"/>
      <c r="J8" s="66"/>
      <c r="K8" s="81" t="str">
        <f>CONCATENATE("Ø6 (", 'I. Timing Constants'!H21,")")</f>
        <v>Ø6 (7)</v>
      </c>
      <c r="L8" s="66"/>
    </row>
    <row r="9" spans="1:12" ht="14.25" thickTop="1" thickBot="1" x14ac:dyDescent="0.25">
      <c r="B9" s="66"/>
      <c r="C9" s="66"/>
      <c r="D9" s="66"/>
      <c r="E9" s="66"/>
      <c r="F9" s="33">
        <f>+B15+F12</f>
        <v>25</v>
      </c>
      <c r="G9" s="18"/>
      <c r="H9" s="66"/>
      <c r="I9" s="66"/>
      <c r="J9" s="66"/>
      <c r="K9" s="49">
        <v>15</v>
      </c>
      <c r="L9" s="66"/>
    </row>
    <row r="10" spans="1:12" ht="13.5" thickTop="1" x14ac:dyDescent="0.2">
      <c r="C10" s="66"/>
      <c r="D10" s="66"/>
      <c r="E10" s="66"/>
      <c r="F10" s="18"/>
      <c r="G10" s="18"/>
      <c r="H10" s="66"/>
      <c r="I10" s="66"/>
      <c r="J10" s="66"/>
      <c r="K10" s="66"/>
      <c r="L10" s="66"/>
    </row>
    <row r="11" spans="1:12" x14ac:dyDescent="0.2">
      <c r="B11" s="66"/>
      <c r="C11" s="66"/>
      <c r="D11" s="66"/>
      <c r="E11" s="66"/>
      <c r="F11" s="18"/>
      <c r="G11" s="18"/>
      <c r="H11" s="66"/>
      <c r="I11" s="66"/>
      <c r="J11" s="66"/>
      <c r="K11" s="66"/>
      <c r="L11" s="66"/>
    </row>
    <row r="12" spans="1:12" x14ac:dyDescent="0.2">
      <c r="B12" s="66"/>
      <c r="C12" s="66"/>
      <c r="D12" s="66"/>
      <c r="E12" s="66"/>
      <c r="F12" s="33">
        <f>+G3-B15-D3</f>
        <v>10</v>
      </c>
      <c r="G12" s="35">
        <f>+G3-K9-I21</f>
        <v>10</v>
      </c>
      <c r="H12" s="66"/>
      <c r="I12" s="66"/>
      <c r="J12" s="66"/>
      <c r="K12" s="66"/>
      <c r="L12" s="66"/>
    </row>
    <row r="13" spans="1:12" x14ac:dyDescent="0.2">
      <c r="B13" s="66"/>
      <c r="C13" s="66"/>
      <c r="D13" s="66"/>
      <c r="E13" s="66"/>
      <c r="F13" s="32"/>
      <c r="G13" s="32"/>
      <c r="H13" s="66"/>
      <c r="I13" s="66"/>
      <c r="J13" s="66"/>
      <c r="K13" s="66"/>
      <c r="L13" s="66"/>
    </row>
    <row r="14" spans="1:12" ht="15.75" thickBot="1" x14ac:dyDescent="0.3">
      <c r="B14" s="81" t="str">
        <f>CONCATENATE("Ø2 (", 'I. Timing Constants'!D21,")")</f>
        <v>Ø2 (7)</v>
      </c>
      <c r="C14" s="66"/>
      <c r="D14" s="66"/>
      <c r="E14" s="66"/>
      <c r="F14" s="32"/>
      <c r="G14" s="32"/>
      <c r="H14" s="66"/>
      <c r="I14" s="66"/>
      <c r="J14" s="66"/>
      <c r="K14" s="66"/>
      <c r="L14" s="66"/>
    </row>
    <row r="15" spans="1:12" ht="14.25" thickTop="1" thickBot="1" x14ac:dyDescent="0.25">
      <c r="B15" s="48">
        <v>15</v>
      </c>
      <c r="C15" s="66"/>
      <c r="D15" s="66"/>
      <c r="E15" s="66"/>
      <c r="F15" s="32"/>
      <c r="G15" s="34">
        <f>+K9+G12</f>
        <v>25</v>
      </c>
      <c r="H15" s="66"/>
      <c r="I15" s="66"/>
      <c r="J15" s="66"/>
      <c r="K15" s="66"/>
      <c r="L15" s="66"/>
    </row>
    <row r="16" spans="1:12" ht="13.5" thickTop="1" x14ac:dyDescent="0.2">
      <c r="B16" s="66"/>
      <c r="C16" s="66"/>
      <c r="D16" s="66"/>
      <c r="E16" s="66"/>
      <c r="F16" s="32"/>
      <c r="G16" s="32"/>
      <c r="H16" s="66"/>
      <c r="I16" s="66"/>
      <c r="J16" s="66"/>
      <c r="K16" s="66"/>
      <c r="L16" s="66"/>
    </row>
    <row r="17" spans="1:12" ht="15.75" x14ac:dyDescent="0.25">
      <c r="B17" s="66"/>
      <c r="C17" s="66"/>
      <c r="D17" s="66"/>
      <c r="E17" s="66"/>
      <c r="F17" s="123"/>
      <c r="G17" s="123"/>
      <c r="H17" s="66"/>
      <c r="I17" s="66"/>
      <c r="J17" s="66"/>
      <c r="K17" s="66"/>
      <c r="L17" s="66"/>
    </row>
    <row r="18" spans="1:12" x14ac:dyDescent="0.2">
      <c r="B18" s="66"/>
      <c r="C18" s="66"/>
      <c r="D18" s="66"/>
      <c r="E18" s="66"/>
      <c r="F18" s="125"/>
      <c r="G18" s="125"/>
      <c r="H18" s="66"/>
      <c r="I18" s="66"/>
      <c r="J18" s="66"/>
      <c r="K18" s="66"/>
      <c r="L18" s="66"/>
    </row>
    <row r="19" spans="1:12" x14ac:dyDescent="0.2">
      <c r="B19" s="66"/>
      <c r="C19" s="66"/>
      <c r="D19" s="66"/>
      <c r="E19" s="66"/>
      <c r="F19" s="125"/>
      <c r="G19" s="125"/>
      <c r="H19" s="66"/>
      <c r="I19" s="66"/>
      <c r="J19" s="66"/>
      <c r="K19" s="66"/>
      <c r="L19" s="66"/>
    </row>
    <row r="20" spans="1:12" ht="15.75" thickBot="1" x14ac:dyDescent="0.3">
      <c r="B20" s="66"/>
      <c r="C20" s="66"/>
      <c r="D20" s="70" t="s">
        <v>3</v>
      </c>
      <c r="F20" s="66"/>
      <c r="G20" s="66"/>
      <c r="H20" s="66"/>
      <c r="I20" s="68"/>
      <c r="J20" s="66"/>
      <c r="K20" s="66"/>
      <c r="L20" s="66"/>
    </row>
    <row r="21" spans="1:12" ht="16.5" thickTop="1" thickBot="1" x14ac:dyDescent="0.3">
      <c r="B21" s="66"/>
      <c r="C21" s="66"/>
      <c r="E21" s="66"/>
      <c r="F21" s="66"/>
      <c r="G21" s="66"/>
      <c r="H21" s="69"/>
      <c r="I21" s="49">
        <v>15</v>
      </c>
      <c r="J21" s="82" t="str">
        <f>CONCATENATE("Ø8 (", 'I. Timing Constants'!J21,")")</f>
        <v>Ø8 (7)</v>
      </c>
      <c r="K21" s="66"/>
      <c r="L21" s="66"/>
    </row>
    <row r="22" spans="1:12" ht="14.25" thickTop="1" thickBot="1" x14ac:dyDescent="0.25">
      <c r="B22" s="36" t="s">
        <v>71</v>
      </c>
      <c r="C22" s="2"/>
      <c r="D22"/>
      <c r="E22"/>
      <c r="H22" s="66"/>
      <c r="J22" s="66"/>
      <c r="K22" s="66"/>
      <c r="L22" s="66"/>
    </row>
    <row r="23" spans="1:12" ht="13.5" thickBot="1" x14ac:dyDescent="0.25">
      <c r="B23" s="6" t="s">
        <v>12</v>
      </c>
      <c r="C23" s="7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8">
        <v>8</v>
      </c>
      <c r="K23" s="66"/>
      <c r="L23" s="66"/>
    </row>
    <row r="24" spans="1:12" x14ac:dyDescent="0.2">
      <c r="B24" s="3" t="s">
        <v>9</v>
      </c>
      <c r="C24" s="87">
        <f>+F12</f>
        <v>10</v>
      </c>
      <c r="D24" s="88">
        <f>+B15</f>
        <v>15</v>
      </c>
      <c r="E24" s="4">
        <v>0</v>
      </c>
      <c r="F24" s="87">
        <f>+D3</f>
        <v>15</v>
      </c>
      <c r="G24" s="87">
        <f>+G12</f>
        <v>10</v>
      </c>
      <c r="H24" s="88">
        <f>+K9</f>
        <v>15</v>
      </c>
      <c r="I24" s="4">
        <v>0</v>
      </c>
      <c r="J24" s="90">
        <f>+I21</f>
        <v>15</v>
      </c>
      <c r="K24" s="66"/>
      <c r="L24" s="66"/>
    </row>
    <row r="25" spans="1:12" ht="13.5" thickBot="1" x14ac:dyDescent="0.25">
      <c r="B25" s="26" t="s">
        <v>10</v>
      </c>
      <c r="C25" s="27" t="str">
        <f>IF(+C24&lt; +'I. Timing Constants'!C20*(1-'I. Timing Constants'!$D$13/100),"Error","")</f>
        <v/>
      </c>
      <c r="D25" s="27" t="str">
        <f>IF(+D24&lt; +'I. Timing Constants'!D20*(1-'I. Timing Constants'!$D$13/100),"Error","")</f>
        <v/>
      </c>
      <c r="E25" s="28"/>
      <c r="F25" s="27" t="str">
        <f>IF(+F24&lt; +'I. Timing Constants'!F20*(1-'I. Timing Constants'!$D$13/100),"Error","")</f>
        <v/>
      </c>
      <c r="G25" s="27" t="str">
        <f>IF(+G24&lt; +'I. Timing Constants'!G20*(1-'I. Timing Constants'!$D$13/100),"Error","")</f>
        <v/>
      </c>
      <c r="H25" s="27" t="str">
        <f>IF(+H24&lt; +'I. Timing Constants'!H20*(1-'I. Timing Constants'!$D$13/100),"Error","")</f>
        <v/>
      </c>
      <c r="I25" s="28"/>
      <c r="J25" s="27" t="str">
        <f>IF(+J24&lt; +'I. Timing Constants'!J20*(1-'I. Timing Constants'!$D$13/100),"Error","")</f>
        <v/>
      </c>
      <c r="K25" s="66"/>
      <c r="L25" s="66"/>
    </row>
    <row r="26" spans="1:12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5.75" x14ac:dyDescent="0.25">
      <c r="A27" s="73" t="s">
        <v>69</v>
      </c>
      <c r="C27" s="74"/>
      <c r="D27" s="74"/>
      <c r="E27" s="74"/>
      <c r="F27" s="74"/>
      <c r="G27" s="74"/>
    </row>
    <row r="28" spans="1:12" x14ac:dyDescent="0.2">
      <c r="A28" s="72"/>
      <c r="B28" s="72"/>
      <c r="C28" s="72"/>
      <c r="D28" s="72"/>
      <c r="E28" s="72"/>
      <c r="F28" s="72"/>
      <c r="G28" s="72"/>
      <c r="H28" s="71"/>
      <c r="I28" s="71"/>
      <c r="J28" s="71"/>
      <c r="K28" s="71"/>
    </row>
    <row r="29" spans="1:12" x14ac:dyDescent="0.2">
      <c r="A29" s="74" t="s">
        <v>18</v>
      </c>
      <c r="B29" s="74" t="s">
        <v>35</v>
      </c>
      <c r="C29" s="74"/>
      <c r="D29" s="74"/>
      <c r="E29" s="74"/>
      <c r="F29" s="74"/>
      <c r="G29" s="74"/>
    </row>
    <row r="30" spans="1:12" x14ac:dyDescent="0.2">
      <c r="A30" s="74"/>
      <c r="B30" s="74"/>
      <c r="C30" s="74"/>
      <c r="D30" s="74"/>
      <c r="E30" s="74"/>
      <c r="F30" s="74"/>
      <c r="G30" s="74"/>
    </row>
    <row r="31" spans="1:12" x14ac:dyDescent="0.2">
      <c r="A31" s="74" t="s">
        <v>22</v>
      </c>
      <c r="B31" s="74" t="s">
        <v>90</v>
      </c>
      <c r="C31" s="74"/>
      <c r="D31" s="74"/>
      <c r="E31" s="74"/>
      <c r="F31" s="74"/>
      <c r="G31" s="74"/>
    </row>
    <row r="32" spans="1:12" x14ac:dyDescent="0.2">
      <c r="A32" s="74"/>
      <c r="B32" s="74" t="s">
        <v>91</v>
      </c>
      <c r="C32" s="74"/>
      <c r="D32" s="74"/>
      <c r="E32" s="74"/>
      <c r="F32" s="74"/>
      <c r="G32" s="74"/>
    </row>
    <row r="33" spans="1:7" x14ac:dyDescent="0.2">
      <c r="A33" s="74"/>
      <c r="B33" s="74"/>
      <c r="C33" s="74"/>
      <c r="D33" s="74"/>
      <c r="E33" s="74"/>
      <c r="F33" s="74"/>
      <c r="G33" s="74"/>
    </row>
    <row r="34" spans="1:7" x14ac:dyDescent="0.2">
      <c r="A34" s="74" t="s">
        <v>25</v>
      </c>
      <c r="B34" s="74" t="s">
        <v>36</v>
      </c>
      <c r="C34" s="74"/>
      <c r="D34" s="74"/>
      <c r="E34" s="74"/>
      <c r="F34" s="74"/>
      <c r="G34" s="74"/>
    </row>
    <row r="35" spans="1:7" x14ac:dyDescent="0.2">
      <c r="A35" s="74"/>
      <c r="B35" s="74"/>
      <c r="C35" s="74"/>
      <c r="D35" s="74"/>
      <c r="E35" s="74"/>
      <c r="F35" s="74"/>
      <c r="G35" s="74"/>
    </row>
    <row r="36" spans="1:7" x14ac:dyDescent="0.2">
      <c r="A36" s="74"/>
      <c r="B36" s="74"/>
      <c r="C36" s="74" t="s">
        <v>37</v>
      </c>
      <c r="D36" s="74"/>
      <c r="E36" s="74"/>
      <c r="F36" s="74"/>
      <c r="G36" s="74"/>
    </row>
    <row r="37" spans="1:7" x14ac:dyDescent="0.2">
      <c r="A37" s="74"/>
      <c r="B37" s="74"/>
      <c r="C37" s="74"/>
      <c r="D37" s="74"/>
      <c r="E37" s="74"/>
      <c r="F37" s="74"/>
      <c r="G37" s="74"/>
    </row>
    <row r="38" spans="1:7" x14ac:dyDescent="0.2">
      <c r="A38" s="74"/>
      <c r="B38" s="74"/>
      <c r="C38" s="74" t="s">
        <v>41</v>
      </c>
      <c r="D38" s="74"/>
      <c r="E38" s="74"/>
      <c r="F38" s="74"/>
      <c r="G38" s="74"/>
    </row>
    <row r="40" spans="1:7" x14ac:dyDescent="0.2">
      <c r="A40" s="74" t="s">
        <v>32</v>
      </c>
      <c r="B40" s="74" t="s">
        <v>46</v>
      </c>
    </row>
  </sheetData>
  <sheetProtection sheet="1" objects="1" scenarios="1"/>
  <mergeCells count="4">
    <mergeCell ref="F6:G6"/>
    <mergeCell ref="F7:G7"/>
    <mergeCell ref="F17:G17"/>
    <mergeCell ref="F18:G1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I. Timing Constants</vt:lpstr>
      <vt:lpstr>II. 4 Phase</vt:lpstr>
      <vt:lpstr>III. 3 Phase</vt:lpstr>
      <vt:lpstr>IV. Sep Intersection</vt:lpstr>
    </vt:vector>
  </TitlesOfParts>
  <Company>Unknown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John Black</cp:lastModifiedBy>
  <dcterms:created xsi:type="dcterms:W3CDTF">2000-11-14T04:54:06Z</dcterms:created>
  <dcterms:modified xsi:type="dcterms:W3CDTF">2016-07-20T20:10:47Z</dcterms:modified>
</cp:coreProperties>
</file>